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luciagarciabello/Desktop/IntelKIT/IntelKIT MICMAC Herramienta/"/>
    </mc:Choice>
  </mc:AlternateContent>
  <xr:revisionPtr revIDLastSave="0" documentId="8_{E4203BC9-7F82-6644-B01E-467CFB974A9B}" xr6:coauthVersionLast="47" xr6:coauthVersionMax="47" xr10:uidLastSave="{00000000-0000-0000-0000-000000000000}"/>
  <bookViews>
    <workbookView xWindow="16340" yWindow="500" windowWidth="17220" windowHeight="18660" tabRatio="500" firstSheet="1" activeTab="6" xr2:uid="{00000000-000D-0000-FFFF-FFFF00000000}"/>
  </bookViews>
  <sheets>
    <sheet name="Inicio" sheetId="23" r:id="rId1"/>
    <sheet name="01 · Encuadre" sheetId="24" r:id="rId2"/>
    <sheet name="02 · Variables" sheetId="7" r:id="rId3"/>
    <sheet name="03 · Criterio" sheetId="25" r:id="rId4"/>
    <sheet name="04 · Matriz" sheetId="8" r:id="rId5"/>
    <sheet name="05 · Resultado" sheetId="26" r:id="rId6"/>
    <sheet name="06 · Informe" sheetId="27" r:id="rId7"/>
    <sheet name="Método" sheetId="4" r:id="rId8"/>
    <sheet name="Comprobación" sheetId="28" r:id="rId9"/>
    <sheet name="_directos" sheetId="10" state="veryHidden" r:id="rId10"/>
    <sheet name="_indirectos" sheetId="11" state="veryHidden" r:id="rId11"/>
    <sheet name="_potenciales" sheetId="12" state="veryHidden" r:id="rId12"/>
    <sheet name="_comparativa" sheetId="13" state="veryHidden" r:id="rId13"/>
    <sheet name="_motor" sheetId="22" state="veryHidden" r:id="rId14"/>
  </sheets>
  <definedNames>
    <definedName name="_xlnm.Print_Area" localSheetId="1">'01 · Encuadre'!$B$1:$H$31</definedName>
    <definedName name="_xlnm.Print_Area" localSheetId="2">'02 · Variables'!$B$1:$G$110</definedName>
    <definedName name="_xlnm.Print_Area" localSheetId="3">'03 · Criterio'!$B$1:$G$52</definedName>
    <definedName name="_xlnm.Print_Area" localSheetId="4">'04 · Matriz'!$B$1:$AA$95</definedName>
    <definedName name="_xlnm.Print_Area" localSheetId="5">'05 · Resultado'!$B$1:$AE$110</definedName>
    <definedName name="_xlnm.Print_Area" localSheetId="6">'06 · Informe'!$B$1:$AE$70</definedName>
    <definedName name="_xlnm.Print_Area" localSheetId="8">Comprobación!$B$1:$G$48</definedName>
    <definedName name="_xlnm.Print_Area" localSheetId="0">Inicio!$B$1:$H$34</definedName>
    <definedName name="_xlnm.Print_Area" localSheetId="7">Método!$B$1:$D$31</definedName>
    <definedName name="Cal_Ficha">'03 · Criterio'!$C$29:$C$35</definedName>
    <definedName name="Cal_Valores">'03 · Criterio'!$D$9:$D$23</definedName>
    <definedName name="Est_Autor">'01 · Encuadre'!$B$22</definedName>
    <definedName name="Est_BandaPeloton">Método!$C$23</definedName>
    <definedName name="Est_Horizonte">'01 · Encuadre'!$B$18</definedName>
    <definedName name="Est_Pregunta">'01 · Encuadre'!$B$14</definedName>
    <definedName name="Est_Titulo">'01 · Encuadre'!$B$10</definedName>
    <definedName name="Ind_Densidad">_motor!$B$7</definedName>
    <definedName name="Ind_Dependencia">_indirectos!$D$6:$D$30</definedName>
    <definedName name="Ind_Motricidad">_indirectos!$C$6:$C$30</definedName>
    <definedName name="Ind_NoNulas">_motor!$B$5</definedName>
    <definedName name="Ind_Potenciales">_motor!$B$6</definedName>
    <definedName name="Ind_Preguntas">_motor!$B$4</definedName>
    <definedName name="Ind_RangoMot">_indirectos!$G$6:$G$30</definedName>
    <definedName name="Ind_Tipologia">_indirectos!$I$6:$I$30</definedName>
    <definedName name="Mat_MID">'04 · Matriz'!$C$6:$AA$30</definedName>
    <definedName name="Pot_Dependencia">_potenciales!$D$6:$D$30</definedName>
    <definedName name="Pot_Motricidad">_potenciales!$C$6:$C$30</definedName>
    <definedName name="Res_Codigo">_directos!$A$6:$A$30</definedName>
    <definedName name="Res_Dependencia">_directos!$D$6:$D$30</definedName>
    <definedName name="Res_Motricidad">_directos!$C$6:$C$30</definedName>
    <definedName name="Res_Nombre">_directos!$B$6:$B$30</definedName>
    <definedName name="Res_RangoDep">_directos!$H$6:$H$30</definedName>
    <definedName name="Res_RangoMot">_directos!$G$6:$G$30</definedName>
    <definedName name="Res_Tipologia">_directos!$I$6:$I$30</definedName>
    <definedName name="_xlnm.Print_Titles" localSheetId="2">'02 · Variables'!$1:$6</definedName>
    <definedName name="_xlnm.Print_Titles" localSheetId="3">'03 · Criterio'!$1:$6</definedName>
    <definedName name="_xlnm.Print_Titles" localSheetId="4">'04 · Matriz'!$1:$5</definedName>
    <definedName name="_xlnm.Print_Titles" localSheetId="5">'05 · Resultado'!$1:$6</definedName>
    <definedName name="_xlnm.Print_Titles" localSheetId="8">Comprobación!$1:$6</definedName>
    <definedName name="Var_Codigo">'02 · Variables'!$B$7:$B$31</definedName>
    <definedName name="Var_Definicion">'02 · Variables'!$E$7:$E$31</definedName>
    <definedName name="Var_N">_motor!$B$3</definedName>
    <definedName name="Var_Nombre">'02 · Variables'!$C$7:$C$31</definedName>
  </definedNames>
  <calcPr calcId="191029" iterateDelta="1E-4"/>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665" i="22" l="1"/>
  <c r="A665" i="22"/>
  <c r="B664" i="22"/>
  <c r="A664" i="22"/>
  <c r="B663" i="22"/>
  <c r="A663" i="22"/>
  <c r="B662" i="22"/>
  <c r="A662" i="22"/>
  <c r="B661" i="22"/>
  <c r="A661" i="22"/>
  <c r="B660" i="22"/>
  <c r="A660" i="22"/>
  <c r="B659" i="22"/>
  <c r="A659" i="22"/>
  <c r="B658" i="22"/>
  <c r="A658" i="22"/>
  <c r="B657" i="22"/>
  <c r="A657" i="22"/>
  <c r="B656" i="22"/>
  <c r="A656" i="22"/>
  <c r="B655" i="22"/>
  <c r="A655" i="22"/>
  <c r="B654" i="22"/>
  <c r="A654" i="22"/>
  <c r="B653" i="22"/>
  <c r="A653" i="22"/>
  <c r="B652" i="22"/>
  <c r="A652" i="22"/>
  <c r="B651" i="22"/>
  <c r="A651" i="22"/>
  <c r="B650" i="22"/>
  <c r="A650" i="22"/>
  <c r="B649" i="22"/>
  <c r="A649" i="22"/>
  <c r="B648" i="22"/>
  <c r="A648" i="22"/>
  <c r="B647" i="22"/>
  <c r="A647" i="22"/>
  <c r="B646" i="22"/>
  <c r="A646" i="22"/>
  <c r="B645" i="22"/>
  <c r="A645" i="22"/>
  <c r="B644" i="22"/>
  <c r="A644" i="22"/>
  <c r="B643" i="22"/>
  <c r="A643" i="22"/>
  <c r="B642" i="22"/>
  <c r="A642" i="22"/>
  <c r="B641" i="22"/>
  <c r="A641" i="22"/>
  <c r="B640" i="22"/>
  <c r="A640" i="22"/>
  <c r="B639" i="22"/>
  <c r="A639" i="22"/>
  <c r="B638" i="22"/>
  <c r="A638" i="22"/>
  <c r="B637" i="22"/>
  <c r="A637" i="22"/>
  <c r="B636" i="22"/>
  <c r="A636" i="22"/>
  <c r="B635" i="22"/>
  <c r="A635" i="22"/>
  <c r="B634" i="22"/>
  <c r="A634" i="22"/>
  <c r="B633" i="22"/>
  <c r="A633" i="22"/>
  <c r="B632" i="22"/>
  <c r="A632" i="22"/>
  <c r="B631" i="22"/>
  <c r="A631" i="22"/>
  <c r="B630" i="22"/>
  <c r="A630" i="22"/>
  <c r="B629" i="22"/>
  <c r="A629" i="22"/>
  <c r="B628" i="22"/>
  <c r="A628" i="22"/>
  <c r="B627" i="22"/>
  <c r="A627" i="22"/>
  <c r="B626" i="22"/>
  <c r="A626" i="22"/>
  <c r="B625" i="22"/>
  <c r="A625" i="22"/>
  <c r="B624" i="22"/>
  <c r="A624" i="22"/>
  <c r="B623" i="22"/>
  <c r="A623" i="22"/>
  <c r="B622" i="22"/>
  <c r="A622" i="22"/>
  <c r="B621" i="22"/>
  <c r="A621" i="22"/>
  <c r="B620" i="22"/>
  <c r="A620" i="22"/>
  <c r="B619" i="22"/>
  <c r="A619" i="22"/>
  <c r="B618" i="22"/>
  <c r="A618" i="22"/>
  <c r="B617" i="22"/>
  <c r="A617" i="22"/>
  <c r="B616" i="22"/>
  <c r="A616" i="22"/>
  <c r="B615" i="22"/>
  <c r="A615" i="22"/>
  <c r="B614" i="22"/>
  <c r="A614" i="22"/>
  <c r="B613" i="22"/>
  <c r="A613" i="22"/>
  <c r="B612" i="22"/>
  <c r="A612" i="22"/>
  <c r="B611" i="22"/>
  <c r="A611" i="22"/>
  <c r="B610" i="22"/>
  <c r="B609" i="22"/>
  <c r="B608" i="22"/>
  <c r="B607" i="22"/>
  <c r="B606" i="22"/>
  <c r="B605" i="22"/>
  <c r="B604" i="22"/>
  <c r="B603" i="22"/>
  <c r="B602" i="22"/>
  <c r="B601" i="22"/>
  <c r="B600" i="22"/>
  <c r="B599" i="22"/>
  <c r="B598" i="22"/>
  <c r="B597" i="22"/>
  <c r="B596" i="22"/>
  <c r="B595" i="22"/>
  <c r="B594" i="22"/>
  <c r="B593" i="22"/>
  <c r="B592" i="22"/>
  <c r="B591" i="22"/>
  <c r="B590" i="22"/>
  <c r="B589" i="22"/>
  <c r="B588" i="22"/>
  <c r="B587" i="22"/>
  <c r="B586" i="22"/>
  <c r="A93" i="22" a="1"/>
  <c r="A11" i="22" a="1"/>
  <c r="B8" i="22"/>
  <c r="B6" i="22"/>
  <c r="B5" i="22"/>
  <c r="B3" i="22"/>
  <c r="L85" i="13"/>
  <c r="K85" i="13"/>
  <c r="J85" i="13"/>
  <c r="I85" i="13"/>
  <c r="H85" i="13"/>
  <c r="G85" i="13"/>
  <c r="F85" i="13"/>
  <c r="E85" i="13"/>
  <c r="D85" i="13"/>
  <c r="C85" i="13"/>
  <c r="B85" i="13"/>
  <c r="A85" i="13"/>
  <c r="L84" i="13"/>
  <c r="K84" i="13"/>
  <c r="J84" i="13"/>
  <c r="I84" i="13"/>
  <c r="H84" i="13"/>
  <c r="G84" i="13"/>
  <c r="F84" i="13"/>
  <c r="E84" i="13"/>
  <c r="D84" i="13"/>
  <c r="C84" i="13"/>
  <c r="B84" i="13"/>
  <c r="A84" i="13"/>
  <c r="L83" i="13"/>
  <c r="K83" i="13"/>
  <c r="J83" i="13"/>
  <c r="I83" i="13"/>
  <c r="H83" i="13"/>
  <c r="G83" i="13"/>
  <c r="F83" i="13"/>
  <c r="E83" i="13"/>
  <c r="D83" i="13"/>
  <c r="C83" i="13"/>
  <c r="B83" i="13"/>
  <c r="A83" i="13"/>
  <c r="L82" i="13"/>
  <c r="K82" i="13"/>
  <c r="J82" i="13"/>
  <c r="I82" i="13"/>
  <c r="H82" i="13"/>
  <c r="G82" i="13"/>
  <c r="F82" i="13"/>
  <c r="E82" i="13"/>
  <c r="D82" i="13"/>
  <c r="C82" i="13"/>
  <c r="B82" i="13"/>
  <c r="A82" i="13"/>
  <c r="L81" i="13"/>
  <c r="K81" i="13"/>
  <c r="J81" i="13"/>
  <c r="I81" i="13"/>
  <c r="H81" i="13"/>
  <c r="G81" i="13"/>
  <c r="F81" i="13"/>
  <c r="E81" i="13"/>
  <c r="D81" i="13"/>
  <c r="C81" i="13"/>
  <c r="B81" i="13"/>
  <c r="A81" i="13"/>
  <c r="L80" i="13"/>
  <c r="K80" i="13"/>
  <c r="J80" i="13"/>
  <c r="I80" i="13"/>
  <c r="H80" i="13"/>
  <c r="G80" i="13"/>
  <c r="F80" i="13"/>
  <c r="E80" i="13"/>
  <c r="D80" i="13"/>
  <c r="C80" i="13"/>
  <c r="B80" i="13"/>
  <c r="A80" i="13"/>
  <c r="L79" i="13"/>
  <c r="K79" i="13"/>
  <c r="J79" i="13"/>
  <c r="I79" i="13"/>
  <c r="H79" i="13"/>
  <c r="G79" i="13"/>
  <c r="F79" i="13"/>
  <c r="E79" i="13"/>
  <c r="D79" i="13"/>
  <c r="C79" i="13"/>
  <c r="C91" i="8"/>
  <c r="C89" i="8"/>
  <c r="F43" i="28"/>
  <c r="D43" i="28"/>
  <c r="D38" i="28"/>
  <c r="C38" i="28"/>
  <c r="D37" i="28"/>
  <c r="C37" i="28"/>
  <c r="D36" i="28"/>
  <c r="C36" i="28"/>
  <c r="D35" i="28"/>
  <c r="C35" i="28"/>
  <c r="D34" i="28"/>
  <c r="C34" i="28"/>
  <c r="D33" i="28"/>
  <c r="C33" i="28"/>
  <c r="C25" i="28"/>
  <c r="C24" i="28"/>
  <c r="C16" i="28"/>
  <c r="C15" i="28"/>
  <c r="C12" i="28"/>
  <c r="C11" i="28"/>
  <c r="D2" i="28"/>
  <c r="C2" i="28"/>
  <c r="B2" i="28"/>
  <c r="B65" i="27"/>
  <c r="B54" i="27"/>
  <c r="B52" i="27"/>
  <c r="B50" i="27"/>
  <c r="L45" i="27"/>
  <c r="B45" i="27"/>
  <c r="L44" i="27"/>
  <c r="B44" i="27"/>
  <c r="L43" i="27"/>
  <c r="B43" i="27"/>
  <c r="L42" i="27"/>
  <c r="B42" i="27"/>
  <c r="B11" i="27"/>
  <c r="B10" i="27"/>
  <c r="B9" i="27"/>
  <c r="J2" i="27"/>
  <c r="F2" i="27"/>
  <c r="B2" i="27"/>
  <c r="F124" i="26"/>
  <c r="D124" i="26"/>
  <c r="J2" i="26"/>
  <c r="F2" i="26"/>
  <c r="B2" i="26"/>
  <c r="B93" i="8"/>
  <c r="B91" i="8"/>
  <c r="B90" i="8"/>
  <c r="B89" i="8"/>
  <c r="C88" i="8"/>
  <c r="B88" i="8"/>
  <c r="B3" i="8"/>
  <c r="H2" i="8"/>
  <c r="E2" i="8"/>
  <c r="B2" i="8"/>
  <c r="F47" i="25"/>
  <c r="B47" i="25"/>
  <c r="B43" i="25"/>
  <c r="D41" i="25"/>
  <c r="C41" i="25"/>
  <c r="D40" i="25"/>
  <c r="C40" i="25"/>
  <c r="F39" i="25"/>
  <c r="D39" i="25"/>
  <c r="C39" i="25"/>
  <c r="D38" i="25"/>
  <c r="C38" i="25"/>
  <c r="C23" i="25"/>
  <c r="C21" i="25"/>
  <c r="C19" i="25"/>
  <c r="C17" i="25"/>
  <c r="C15" i="25"/>
  <c r="C13" i="25"/>
  <c r="C11" i="25"/>
  <c r="C9" i="25"/>
  <c r="C2" i="25"/>
  <c r="B2" i="25"/>
  <c r="F105" i="7"/>
  <c r="D105" i="7"/>
  <c r="B105" i="7"/>
  <c r="B101" i="7"/>
  <c r="D100" i="7"/>
  <c r="C100" i="7"/>
  <c r="D99" i="7"/>
  <c r="C99" i="7"/>
  <c r="D98" i="7"/>
  <c r="C98" i="7"/>
  <c r="F97" i="7"/>
  <c r="D97" i="7"/>
  <c r="C97" i="7"/>
  <c r="D96" i="7"/>
  <c r="C96" i="7"/>
  <c r="B93" i="7"/>
  <c r="B92" i="7"/>
  <c r="F89" i="7"/>
  <c r="D89" i="7"/>
  <c r="B89" i="7"/>
  <c r="F31" i="7"/>
  <c r="D31" i="7"/>
  <c r="B31" i="7"/>
  <c r="A610" i="22" s="1"/>
  <c r="F30" i="7"/>
  <c r="D30" i="7"/>
  <c r="B30" i="7"/>
  <c r="A609" i="22" s="1"/>
  <c r="F29" i="7"/>
  <c r="D29" i="7"/>
  <c r="B29" i="7"/>
  <c r="A608" i="22" s="1"/>
  <c r="F28" i="7"/>
  <c r="D28" i="7"/>
  <c r="B28" i="7"/>
  <c r="A607" i="22" s="1"/>
  <c r="F27" i="7"/>
  <c r="D27" i="7"/>
  <c r="B27" i="7"/>
  <c r="A606" i="22" s="1"/>
  <c r="F26" i="7"/>
  <c r="D26" i="7"/>
  <c r="B26" i="7"/>
  <c r="A605" i="22" s="1"/>
  <c r="F25" i="7"/>
  <c r="D25" i="7"/>
  <c r="B25" i="7"/>
  <c r="A604" i="22" s="1"/>
  <c r="F24" i="7"/>
  <c r="D24" i="7"/>
  <c r="B24" i="7"/>
  <c r="A603" i="22" s="1"/>
  <c r="F23" i="7"/>
  <c r="D23" i="7"/>
  <c r="B23" i="7"/>
  <c r="A602" i="22" s="1"/>
  <c r="F22" i="7"/>
  <c r="D22" i="7"/>
  <c r="B22" i="7"/>
  <c r="A601" i="22" s="1"/>
  <c r="F21" i="7"/>
  <c r="D21" i="7"/>
  <c r="B21" i="7"/>
  <c r="A600" i="22" s="1"/>
  <c r="F20" i="7"/>
  <c r="D20" i="7"/>
  <c r="B20" i="7"/>
  <c r="A599" i="22" s="1"/>
  <c r="F19" i="7"/>
  <c r="D19" i="7"/>
  <c r="B19" i="7"/>
  <c r="A598" i="22" s="1"/>
  <c r="F18" i="7"/>
  <c r="D18" i="7"/>
  <c r="B18" i="7"/>
  <c r="A597" i="22" s="1"/>
  <c r="F17" i="7"/>
  <c r="D17" i="7"/>
  <c r="B17" i="7"/>
  <c r="A596" i="22" s="1"/>
  <c r="F16" i="7"/>
  <c r="D16" i="7"/>
  <c r="B16" i="7"/>
  <c r="A595" i="22" s="1"/>
  <c r="F15" i="7"/>
  <c r="D15" i="7"/>
  <c r="B15" i="7"/>
  <c r="A594" i="22" s="1"/>
  <c r="F14" i="7"/>
  <c r="D14" i="7"/>
  <c r="B14" i="7"/>
  <c r="A593" i="22" s="1"/>
  <c r="F13" i="7"/>
  <c r="D13" i="7"/>
  <c r="B13" i="7"/>
  <c r="A592" i="22" s="1"/>
  <c r="F12" i="7"/>
  <c r="D12" i="7"/>
  <c r="B12" i="7"/>
  <c r="A591" i="22" s="1"/>
  <c r="F11" i="7"/>
  <c r="D11" i="7"/>
  <c r="B11" i="7"/>
  <c r="A590" i="22" s="1"/>
  <c r="F10" i="7"/>
  <c r="D10" i="7"/>
  <c r="B10" i="7"/>
  <c r="A589" i="22" s="1"/>
  <c r="F9" i="7"/>
  <c r="D9" i="7"/>
  <c r="B9" i="7"/>
  <c r="A588" i="22" s="1"/>
  <c r="F8" i="7"/>
  <c r="D8" i="7"/>
  <c r="B8" i="7"/>
  <c r="A587" i="22" s="1"/>
  <c r="F7" i="7"/>
  <c r="D7" i="7"/>
  <c r="B7" i="7"/>
  <c r="A586" i="22" s="1"/>
  <c r="D2" i="7"/>
  <c r="B2" i="7"/>
  <c r="F27" i="24"/>
  <c r="D27" i="24"/>
  <c r="B27" i="24"/>
  <c r="E22" i="24"/>
  <c r="E18" i="24"/>
  <c r="E14" i="24"/>
  <c r="E10" i="24"/>
  <c r="D2" i="24"/>
  <c r="C2" i="24"/>
  <c r="D18" i="23"/>
  <c r="C18" i="23"/>
  <c r="B18" i="23"/>
  <c r="B8" i="23"/>
  <c r="J85" i="10" l="1"/>
  <c r="A85" i="10"/>
  <c r="B85" i="10"/>
  <c r="C85" i="10"/>
  <c r="D85" i="10"/>
  <c r="G85" i="10"/>
  <c r="H85" i="10"/>
  <c r="I85" i="10"/>
  <c r="G84" i="10"/>
  <c r="D84" i="10"/>
  <c r="H84" i="10"/>
  <c r="I84" i="10"/>
  <c r="J84" i="10"/>
  <c r="C84" i="10"/>
  <c r="B84" i="10"/>
  <c r="A84" i="10"/>
  <c r="J83" i="10"/>
  <c r="I83" i="10"/>
  <c r="H83" i="10"/>
  <c r="G83" i="10"/>
  <c r="D83" i="10"/>
  <c r="C83" i="10"/>
  <c r="B83" i="10"/>
  <c r="A83" i="10"/>
  <c r="J82" i="10"/>
  <c r="I82" i="10"/>
  <c r="H82" i="10"/>
  <c r="G82" i="10"/>
  <c r="D82" i="10"/>
  <c r="C82" i="10"/>
  <c r="B82" i="10"/>
  <c r="A82" i="10"/>
  <c r="J81" i="10"/>
  <c r="I81" i="10"/>
  <c r="H81" i="10"/>
  <c r="G81" i="10"/>
  <c r="B81" i="10"/>
  <c r="D81" i="10"/>
  <c r="C81" i="10"/>
  <c r="A81" i="10"/>
  <c r="H80" i="10"/>
  <c r="G80" i="10"/>
  <c r="D80" i="10"/>
  <c r="C80" i="10"/>
  <c r="B80" i="10"/>
  <c r="A80" i="10"/>
  <c r="J80" i="10"/>
  <c r="I80" i="10"/>
  <c r="B79" i="10"/>
  <c r="B79" i="13"/>
  <c r="D79" i="10"/>
  <c r="G79" i="10"/>
  <c r="H79" i="10"/>
  <c r="I79" i="10"/>
  <c r="J79" i="10"/>
  <c r="A79" i="10"/>
  <c r="C79" i="10"/>
  <c r="A79" i="13"/>
  <c r="E78" i="13"/>
  <c r="J78" i="10"/>
  <c r="H78" i="10"/>
  <c r="G78" i="10"/>
  <c r="D78" i="10"/>
  <c r="C78" i="10"/>
  <c r="B78" i="10"/>
  <c r="A78" i="10"/>
  <c r="F78" i="13"/>
  <c r="G78" i="13"/>
  <c r="H78" i="13"/>
  <c r="L78" i="13"/>
  <c r="I78" i="13"/>
  <c r="J78" i="13"/>
  <c r="K78" i="13"/>
  <c r="I78" i="10"/>
  <c r="A77" i="10"/>
  <c r="B77" i="10"/>
  <c r="C77" i="10"/>
  <c r="D77" i="10"/>
  <c r="H77" i="10"/>
  <c r="I77" i="10"/>
  <c r="J77" i="10"/>
  <c r="G77" i="10"/>
  <c r="J76" i="10"/>
  <c r="I76" i="10"/>
  <c r="H76" i="10"/>
  <c r="G76" i="10"/>
  <c r="D76" i="10"/>
  <c r="C76" i="10"/>
  <c r="B76" i="10"/>
  <c r="A76" i="10"/>
  <c r="B75" i="10"/>
  <c r="A75" i="10"/>
  <c r="D75" i="10"/>
  <c r="G75" i="10"/>
  <c r="H75" i="10"/>
  <c r="I75" i="10"/>
  <c r="J75" i="10"/>
  <c r="C75" i="10"/>
  <c r="D74" i="10"/>
  <c r="B74" i="10"/>
  <c r="A74" i="10"/>
  <c r="J74" i="10"/>
  <c r="I74" i="10"/>
  <c r="H74" i="10"/>
  <c r="G74" i="10"/>
  <c r="C74" i="10"/>
  <c r="C73" i="10"/>
  <c r="B73" i="10"/>
  <c r="A73" i="10"/>
  <c r="D73" i="10"/>
  <c r="G73" i="10"/>
  <c r="H73" i="10"/>
  <c r="I73" i="10"/>
  <c r="J73" i="10"/>
  <c r="J72" i="10"/>
  <c r="H72" i="10"/>
  <c r="G72" i="10"/>
  <c r="D72" i="10"/>
  <c r="C72" i="10"/>
  <c r="B72" i="10"/>
  <c r="A72" i="10"/>
  <c r="I72" i="10"/>
  <c r="J71" i="10"/>
  <c r="H71" i="10"/>
  <c r="G71" i="10"/>
  <c r="D71" i="10"/>
  <c r="C71" i="10"/>
  <c r="B71" i="10"/>
  <c r="A71" i="10"/>
  <c r="I71" i="10"/>
  <c r="I70" i="10"/>
  <c r="H70" i="10"/>
  <c r="G70" i="10"/>
  <c r="D70" i="10"/>
  <c r="C70" i="10"/>
  <c r="B70" i="10"/>
  <c r="J70" i="10"/>
  <c r="A70" i="10"/>
  <c r="I69" i="10"/>
  <c r="H69" i="10"/>
  <c r="G69" i="10"/>
  <c r="D69" i="10"/>
  <c r="C69" i="10"/>
  <c r="B69" i="10"/>
  <c r="A69" i="10"/>
  <c r="Z21" i="27"/>
  <c r="Z15" i="26"/>
  <c r="C22" i="28"/>
  <c r="N21" i="27"/>
  <c r="N15" i="26"/>
  <c r="B29" i="8"/>
  <c r="B28" i="8"/>
  <c r="B27" i="8"/>
  <c r="B26" i="8"/>
  <c r="B25" i="8"/>
  <c r="B24" i="8"/>
  <c r="B23" i="8"/>
  <c r="B22" i="8"/>
  <c r="B21" i="8"/>
  <c r="B20" i="8"/>
  <c r="B19" i="8"/>
  <c r="B18" i="8"/>
  <c r="B17" i="8"/>
  <c r="B16" i="8"/>
  <c r="B15" i="8"/>
  <c r="B14" i="8"/>
  <c r="B13" i="8"/>
  <c r="B12" i="8"/>
  <c r="B11" i="8"/>
  <c r="B10" i="8"/>
  <c r="B9" i="8"/>
  <c r="B8" i="8"/>
  <c r="B7" i="8"/>
  <c r="B6" i="8"/>
  <c r="AA5" i="8"/>
  <c r="Z5" i="8"/>
  <c r="Y5" i="8"/>
  <c r="X5" i="8"/>
  <c r="W5" i="8"/>
  <c r="V5" i="8"/>
  <c r="U5" i="8"/>
  <c r="T5" i="8"/>
  <c r="S5" i="8"/>
  <c r="R5" i="8"/>
  <c r="Q5" i="8"/>
  <c r="P5" i="8"/>
  <c r="O5" i="8"/>
  <c r="N5" i="8"/>
  <c r="M5" i="8"/>
  <c r="L5" i="8"/>
  <c r="K5" i="8"/>
  <c r="J5" i="8"/>
  <c r="I5" i="8"/>
  <c r="H5" i="8"/>
  <c r="G5" i="8"/>
  <c r="F5" i="8"/>
  <c r="E5" i="8"/>
  <c r="D5" i="8"/>
  <c r="C5" i="8"/>
  <c r="AJ8" i="26"/>
  <c r="AK8" i="26"/>
  <c r="AL8" i="26"/>
  <c r="AM8" i="26"/>
  <c r="AN8" i="26"/>
  <c r="AJ9" i="26"/>
  <c r="AK9" i="26"/>
  <c r="AL9" i="26"/>
  <c r="AM9" i="26"/>
  <c r="AN9" i="26"/>
  <c r="AJ10" i="26"/>
  <c r="AK10" i="26"/>
  <c r="AL10" i="26"/>
  <c r="AM10" i="26"/>
  <c r="AN10" i="26"/>
  <c r="B11" i="26"/>
  <c r="AJ11" i="26"/>
  <c r="AK11" i="26"/>
  <c r="AI32" i="27"/>
  <c r="AJ32" i="27" s="1"/>
  <c r="AH32" i="27"/>
  <c r="AG32" i="27"/>
  <c r="AF32" i="27"/>
  <c r="AI31" i="27"/>
  <c r="AJ31" i="27" s="1"/>
  <c r="AH31" i="27"/>
  <c r="AG31" i="27"/>
  <c r="AF31" i="27"/>
  <c r="AI30" i="27"/>
  <c r="AJ30" i="27" s="1"/>
  <c r="AH30" i="27"/>
  <c r="AG30" i="27"/>
  <c r="AF30" i="27"/>
  <c r="AI29" i="27"/>
  <c r="AJ29" i="27" s="1"/>
  <c r="AH29" i="27"/>
  <c r="AG29" i="27"/>
  <c r="AF29" i="27"/>
  <c r="AI28" i="27"/>
  <c r="AJ28" i="27" s="1"/>
  <c r="AH28" i="27"/>
  <c r="AG28" i="27"/>
  <c r="AF28" i="27"/>
  <c r="AI27" i="27"/>
  <c r="AJ27" i="27" s="1"/>
  <c r="AH27" i="27"/>
  <c r="AG27" i="27"/>
  <c r="AF27" i="27"/>
  <c r="AI26" i="27"/>
  <c r="AJ26" i="27" s="1"/>
  <c r="AH26" i="27"/>
  <c r="AG26" i="27"/>
  <c r="AF26" i="27"/>
  <c r="AI25" i="27"/>
  <c r="AJ25" i="27" s="1"/>
  <c r="AH25" i="27"/>
  <c r="AG25" i="27"/>
  <c r="AF25" i="27"/>
  <c r="AI24" i="27"/>
  <c r="AJ24" i="27" s="1"/>
  <c r="AH24" i="27"/>
  <c r="AG24" i="27"/>
  <c r="AF24" i="27"/>
  <c r="AI23" i="27"/>
  <c r="AJ23" i="27" s="1"/>
  <c r="AH23" i="27"/>
  <c r="AG23" i="27"/>
  <c r="AF23" i="27"/>
  <c r="AI22" i="27"/>
  <c r="AJ22" i="27" s="1"/>
  <c r="AH22" i="27"/>
  <c r="AG22" i="27"/>
  <c r="AF22" i="27"/>
  <c r="AI21" i="27"/>
  <c r="AJ21" i="27" s="1"/>
  <c r="AH21" i="27"/>
  <c r="AG21" i="27"/>
  <c r="AF21" i="27"/>
  <c r="AL11" i="26"/>
  <c r="AM11" i="26"/>
  <c r="B21" i="27"/>
  <c r="AI20" i="27"/>
  <c r="AJ20" i="27" s="1"/>
  <c r="AH20" i="27"/>
  <c r="AG20" i="27"/>
  <c r="AF20" i="27"/>
  <c r="AI19" i="27"/>
  <c r="AJ19" i="27" s="1"/>
  <c r="AH19" i="27"/>
  <c r="AG19" i="27"/>
  <c r="AF19" i="27"/>
  <c r="AI18" i="27"/>
  <c r="AJ18" i="27" s="1"/>
  <c r="AH18" i="27"/>
  <c r="AG18" i="27"/>
  <c r="AF18" i="27"/>
  <c r="B18" i="27"/>
  <c r="AI17" i="27"/>
  <c r="AJ17" i="27" s="1"/>
  <c r="AH17" i="27"/>
  <c r="AG17" i="27"/>
  <c r="AF17" i="27"/>
  <c r="AI16" i="27"/>
  <c r="AJ16" i="27" s="1"/>
  <c r="AH16" i="27"/>
  <c r="AG16" i="27"/>
  <c r="AF16" i="27"/>
  <c r="AI15" i="27"/>
  <c r="AJ15" i="27" s="1"/>
  <c r="AH15" i="27"/>
  <c r="AG15" i="27"/>
  <c r="AF15" i="27"/>
  <c r="AI14" i="27"/>
  <c r="AJ14" i="27" s="1"/>
  <c r="AH14" i="27"/>
  <c r="AG14" i="27"/>
  <c r="AF14" i="27"/>
  <c r="AI13" i="27"/>
  <c r="AJ13" i="27" s="1"/>
  <c r="AH13" i="27"/>
  <c r="AG13" i="27"/>
  <c r="AF13" i="27"/>
  <c r="AI12" i="27"/>
  <c r="AJ12" i="27" s="1"/>
  <c r="AH12" i="27"/>
  <c r="AG12" i="27"/>
  <c r="AF12" i="27"/>
  <c r="AI11" i="27"/>
  <c r="AJ11" i="27" s="1"/>
  <c r="AH11" i="27"/>
  <c r="AG11" i="27"/>
  <c r="AF11" i="27"/>
  <c r="AI10" i="27"/>
  <c r="AJ10" i="27" s="1"/>
  <c r="AH10" i="27"/>
  <c r="AG10" i="27"/>
  <c r="AF10" i="27"/>
  <c r="AI9" i="27"/>
  <c r="AJ9" i="27" s="1"/>
  <c r="AH9" i="27"/>
  <c r="AG9" i="27"/>
  <c r="AF9" i="27"/>
  <c r="AI8" i="27"/>
  <c r="AH8" i="27"/>
  <c r="AG8" i="27"/>
  <c r="AF8" i="27"/>
  <c r="B15" i="27" s="1"/>
  <c r="B124" i="26"/>
  <c r="C114" i="26"/>
  <c r="B114" i="26"/>
  <c r="C113" i="26"/>
  <c r="B113" i="26"/>
  <c r="C112" i="26"/>
  <c r="B112" i="26"/>
  <c r="C111" i="26"/>
  <c r="B111" i="26"/>
  <c r="C110" i="26"/>
  <c r="B110" i="26"/>
  <c r="R106" i="26"/>
  <c r="O106" i="26"/>
  <c r="L106" i="26"/>
  <c r="B106" i="26"/>
  <c r="R105" i="26"/>
  <c r="O105" i="26"/>
  <c r="L105" i="26"/>
  <c r="B105" i="26"/>
  <c r="R104" i="26"/>
  <c r="O104" i="26"/>
  <c r="L104" i="26"/>
  <c r="B104" i="26"/>
  <c r="R103" i="26"/>
  <c r="O103" i="26"/>
  <c r="L103" i="26"/>
  <c r="B103" i="26"/>
  <c r="R102" i="26"/>
  <c r="O102" i="26"/>
  <c r="L102" i="26"/>
  <c r="B102" i="26"/>
  <c r="R101" i="26"/>
  <c r="O101" i="26"/>
  <c r="L101" i="26"/>
  <c r="B101" i="26"/>
  <c r="R100" i="26"/>
  <c r="O100" i="26"/>
  <c r="L100" i="26"/>
  <c r="B100" i="26"/>
  <c r="R99" i="26"/>
  <c r="O99" i="26"/>
  <c r="L99" i="26"/>
  <c r="B99" i="26"/>
  <c r="R98" i="26"/>
  <c r="O98" i="26"/>
  <c r="L98" i="26"/>
  <c r="B98" i="26"/>
  <c r="R97" i="26"/>
  <c r="O97" i="26"/>
  <c r="L97" i="26"/>
  <c r="B97" i="26"/>
  <c r="R96" i="26"/>
  <c r="O96" i="26"/>
  <c r="L96" i="26"/>
  <c r="B96" i="26"/>
  <c r="R95" i="26"/>
  <c r="O95" i="26"/>
  <c r="L95" i="26"/>
  <c r="B95" i="26"/>
  <c r="R94" i="26"/>
  <c r="O94" i="26"/>
  <c r="L94" i="26"/>
  <c r="B94" i="26"/>
  <c r="R93" i="26"/>
  <c r="O93" i="26"/>
  <c r="L93" i="26"/>
  <c r="B93" i="26"/>
  <c r="R92" i="26"/>
  <c r="O92" i="26"/>
  <c r="L92" i="26"/>
  <c r="B92" i="26"/>
  <c r="R91" i="26"/>
  <c r="O91" i="26"/>
  <c r="L91" i="26"/>
  <c r="B91" i="26"/>
  <c r="R90" i="26"/>
  <c r="O90" i="26"/>
  <c r="Q49" i="26"/>
  <c r="B49" i="26"/>
  <c r="Q48" i="26"/>
  <c r="B48" i="26"/>
  <c r="B47" i="26"/>
  <c r="Q46" i="26"/>
  <c r="B46" i="26"/>
  <c r="Q45" i="26"/>
  <c r="Q44" i="26"/>
  <c r="H40" i="26"/>
  <c r="H37" i="26"/>
  <c r="AN32" i="26"/>
  <c r="AL32" i="26"/>
  <c r="AJ32" i="26"/>
  <c r="R32" i="26"/>
  <c r="O32" i="26"/>
  <c r="L32" i="26"/>
  <c r="I32" i="26"/>
  <c r="F32" i="26"/>
  <c r="C32" i="26"/>
  <c r="AL31" i="26"/>
  <c r="AK31" i="26"/>
  <c r="S31" i="26"/>
  <c r="P31" i="26"/>
  <c r="M31" i="26"/>
  <c r="J31" i="26"/>
  <c r="L90" i="26"/>
  <c r="B90" i="26"/>
  <c r="R89" i="26"/>
  <c r="O89" i="26"/>
  <c r="L89" i="26"/>
  <c r="B89" i="26"/>
  <c r="R88" i="26"/>
  <c r="O88" i="26"/>
  <c r="L88" i="26"/>
  <c r="B88" i="26"/>
  <c r="R87" i="26"/>
  <c r="O87" i="26"/>
  <c r="L87" i="26"/>
  <c r="B87" i="26"/>
  <c r="R86" i="26"/>
  <c r="O86" i="26"/>
  <c r="L86" i="26"/>
  <c r="B86" i="26"/>
  <c r="R85" i="26"/>
  <c r="O85" i="26"/>
  <c r="L85" i="26"/>
  <c r="B85" i="26"/>
  <c r="R84" i="26"/>
  <c r="O84" i="26"/>
  <c r="L84" i="26"/>
  <c r="B84" i="26"/>
  <c r="R83" i="26"/>
  <c r="O83" i="26"/>
  <c r="L83" i="26"/>
  <c r="B83" i="26"/>
  <c r="R82" i="26"/>
  <c r="O82" i="26"/>
  <c r="L82" i="26"/>
  <c r="B82" i="26"/>
  <c r="T78" i="26"/>
  <c r="Q78" i="26"/>
  <c r="N78" i="26"/>
  <c r="B78" i="26"/>
  <c r="T77" i="26"/>
  <c r="Q77" i="26"/>
  <c r="N77" i="26"/>
  <c r="B77" i="26"/>
  <c r="T76" i="26"/>
  <c r="Q76" i="26"/>
  <c r="N76" i="26"/>
  <c r="B76" i="26"/>
  <c r="T75" i="26"/>
  <c r="Q75" i="26"/>
  <c r="N75" i="26"/>
  <c r="B75" i="26"/>
  <c r="T74" i="26"/>
  <c r="N74" i="26"/>
  <c r="T73" i="26"/>
  <c r="Q73" i="26"/>
  <c r="N73" i="26"/>
  <c r="B73" i="26"/>
  <c r="T72" i="26"/>
  <c r="Q72" i="26"/>
  <c r="N72" i="26"/>
  <c r="B72" i="26"/>
  <c r="T71" i="26"/>
  <c r="Q71" i="26"/>
  <c r="N71" i="26"/>
  <c r="B71" i="26"/>
  <c r="T70" i="26"/>
  <c r="Q70" i="26"/>
  <c r="N70" i="26"/>
  <c r="B70" i="26"/>
  <c r="T69" i="26"/>
  <c r="Q69" i="26"/>
  <c r="N69" i="26"/>
  <c r="B69" i="26"/>
  <c r="T68" i="26"/>
  <c r="Q68" i="26"/>
  <c r="N68" i="26"/>
  <c r="B68" i="26"/>
  <c r="T67" i="26"/>
  <c r="Q67" i="26"/>
  <c r="N67" i="26"/>
  <c r="B67" i="26"/>
  <c r="T66" i="26"/>
  <c r="Q66" i="26"/>
  <c r="N66" i="26"/>
  <c r="B66" i="26"/>
  <c r="T65" i="26"/>
  <c r="Q65" i="26"/>
  <c r="N65" i="26"/>
  <c r="B65" i="26"/>
  <c r="T64" i="26"/>
  <c r="Q64" i="26"/>
  <c r="N64" i="26"/>
  <c r="B64" i="26"/>
  <c r="T63" i="26"/>
  <c r="Q63" i="26"/>
  <c r="N63" i="26"/>
  <c r="B63" i="26"/>
  <c r="T62" i="26"/>
  <c r="Q62" i="26"/>
  <c r="N62" i="26"/>
  <c r="B62" i="26"/>
  <c r="T61" i="26"/>
  <c r="Q61" i="26"/>
  <c r="N61" i="26"/>
  <c r="B61" i="26"/>
  <c r="T60" i="26"/>
  <c r="Q60" i="26"/>
  <c r="N60" i="26"/>
  <c r="B60" i="26"/>
  <c r="T59" i="26"/>
  <c r="Q59" i="26"/>
  <c r="N59" i="26"/>
  <c r="B59" i="26"/>
  <c r="T58" i="26"/>
  <c r="Q58" i="26"/>
  <c r="N58" i="26"/>
  <c r="B58" i="26"/>
  <c r="T57" i="26"/>
  <c r="Q57" i="26"/>
  <c r="N57" i="26"/>
  <c r="B57" i="26"/>
  <c r="T56" i="26"/>
  <c r="Q56" i="26"/>
  <c r="Q47" i="26"/>
  <c r="B45" i="26"/>
  <c r="B44" i="26"/>
  <c r="H39" i="26"/>
  <c r="B30" i="8"/>
  <c r="AM32" i="26"/>
  <c r="AK32" i="26"/>
  <c r="T32" i="26"/>
  <c r="P32" i="26"/>
  <c r="M32" i="26"/>
  <c r="J32" i="26"/>
  <c r="G32" i="26"/>
  <c r="D32" i="26"/>
  <c r="AM31" i="26"/>
  <c r="AJ31" i="26"/>
  <c r="R31" i="26"/>
  <c r="O31" i="26"/>
  <c r="L31" i="26"/>
  <c r="I31" i="26"/>
  <c r="G31" i="26"/>
  <c r="D31" i="26"/>
  <c r="AM30" i="26"/>
  <c r="AK30" i="26"/>
  <c r="S30" i="26"/>
  <c r="Q30" i="26"/>
  <c r="N30" i="26"/>
  <c r="L30" i="26"/>
  <c r="I30" i="26"/>
  <c r="G30" i="26"/>
  <c r="D30" i="26"/>
  <c r="AM29" i="26"/>
  <c r="AK29" i="26"/>
  <c r="B4" i="23"/>
  <c r="N56" i="26"/>
  <c r="B56" i="26"/>
  <c r="T55" i="26"/>
  <c r="Q55" i="26"/>
  <c r="N55" i="26"/>
  <c r="B55" i="26"/>
  <c r="T54" i="26"/>
  <c r="Q54" i="26"/>
  <c r="N54" i="26"/>
  <c r="B54" i="26"/>
  <c r="B52" i="26"/>
  <c r="H38" i="26"/>
  <c r="S32" i="26"/>
  <c r="Q32" i="26"/>
  <c r="N32" i="26"/>
  <c r="K32" i="26"/>
  <c r="H32" i="26"/>
  <c r="E32" i="26"/>
  <c r="AN31" i="26"/>
  <c r="T31" i="26"/>
  <c r="Q31" i="26"/>
  <c r="N31" i="26"/>
  <c r="K31" i="26"/>
  <c r="H31" i="26"/>
  <c r="F31" i="26"/>
  <c r="E31" i="26"/>
  <c r="C31" i="26"/>
  <c r="AN30" i="26"/>
  <c r="AL30" i="26"/>
  <c r="AJ30" i="26"/>
  <c r="T30" i="26"/>
  <c r="R30" i="26"/>
  <c r="P30" i="26"/>
  <c r="O30" i="26"/>
  <c r="M30" i="26"/>
  <c r="K30" i="26"/>
  <c r="J30" i="26"/>
  <c r="H30" i="26"/>
  <c r="F30" i="26"/>
  <c r="E30" i="26"/>
  <c r="C30" i="26"/>
  <c r="AN29" i="26"/>
  <c r="AL29" i="26"/>
  <c r="AJ29" i="26"/>
  <c r="T29" i="26"/>
  <c r="S29" i="26"/>
  <c r="R29" i="26"/>
  <c r="Q29" i="26"/>
  <c r="P29" i="26"/>
  <c r="O29" i="26"/>
  <c r="N29" i="26"/>
  <c r="M29" i="26"/>
  <c r="L29" i="26"/>
  <c r="K29" i="26"/>
  <c r="J29" i="26"/>
  <c r="I29" i="26"/>
  <c r="H29" i="26"/>
  <c r="G29" i="26"/>
  <c r="F29" i="26"/>
  <c r="E29" i="26"/>
  <c r="D29" i="26"/>
  <c r="C29" i="26"/>
  <c r="AN28" i="26"/>
  <c r="AM28" i="26"/>
  <c r="AL28" i="26"/>
  <c r="AK28" i="26"/>
  <c r="AJ28" i="26"/>
  <c r="T28" i="26"/>
  <c r="S28" i="26"/>
  <c r="R28" i="26"/>
  <c r="Q28" i="26"/>
  <c r="P28" i="26"/>
  <c r="O28" i="26"/>
  <c r="N28" i="26"/>
  <c r="M28" i="26"/>
  <c r="L28" i="26"/>
  <c r="K28" i="26"/>
  <c r="J28" i="26"/>
  <c r="I28" i="26"/>
  <c r="H28" i="26"/>
  <c r="G28" i="26"/>
  <c r="F28" i="26"/>
  <c r="E28" i="26"/>
  <c r="D28" i="26"/>
  <c r="C28" i="26"/>
  <c r="AN27" i="26"/>
  <c r="AM27" i="26"/>
  <c r="AL27" i="26"/>
  <c r="AK27" i="26"/>
  <c r="AJ27" i="26"/>
  <c r="T27" i="26"/>
  <c r="S27" i="26"/>
  <c r="R27" i="26"/>
  <c r="Q27" i="26"/>
  <c r="P27" i="26"/>
  <c r="O27" i="26"/>
  <c r="N27" i="26"/>
  <c r="M27" i="26"/>
  <c r="L27" i="26"/>
  <c r="K27" i="26"/>
  <c r="J27" i="26"/>
  <c r="I27" i="26"/>
  <c r="H27" i="26"/>
  <c r="G27" i="26"/>
  <c r="F27" i="26"/>
  <c r="E27" i="26"/>
  <c r="D27" i="26"/>
  <c r="C27" i="26"/>
  <c r="AN26" i="26"/>
  <c r="AM26" i="26"/>
  <c r="AL26" i="26"/>
  <c r="AK26" i="26"/>
  <c r="AJ26" i="26"/>
  <c r="T26" i="26"/>
  <c r="S26" i="26"/>
  <c r="R26" i="26"/>
  <c r="Q26" i="26"/>
  <c r="P26" i="26"/>
  <c r="O26" i="26"/>
  <c r="N26" i="26"/>
  <c r="M26" i="26"/>
  <c r="L26" i="26"/>
  <c r="K26" i="26"/>
  <c r="J26" i="26"/>
  <c r="I26" i="26"/>
  <c r="H26" i="26"/>
  <c r="G26" i="26"/>
  <c r="F26" i="26"/>
  <c r="E26" i="26"/>
  <c r="D26" i="26"/>
  <c r="C26" i="26"/>
  <c r="AN25" i="26"/>
  <c r="AM25" i="26"/>
  <c r="AL25" i="26"/>
  <c r="AK25" i="26"/>
  <c r="AJ25" i="26"/>
  <c r="T25" i="26"/>
  <c r="S25" i="26"/>
  <c r="R25" i="26"/>
  <c r="Q25" i="26"/>
  <c r="P25" i="26"/>
  <c r="O25" i="26"/>
  <c r="N25" i="26"/>
  <c r="M25" i="26"/>
  <c r="L25" i="26"/>
  <c r="K25" i="26"/>
  <c r="J25" i="26"/>
  <c r="I25" i="26"/>
  <c r="H25" i="26"/>
  <c r="G25" i="26"/>
  <c r="F25" i="26"/>
  <c r="E25" i="26"/>
  <c r="D25" i="26"/>
  <c r="C25" i="26"/>
  <c r="AN24" i="26"/>
  <c r="AM24" i="26"/>
  <c r="AL24" i="26"/>
  <c r="AK24" i="26"/>
  <c r="AJ24" i="26"/>
  <c r="T24" i="26"/>
  <c r="S24" i="26"/>
  <c r="R24" i="26"/>
  <c r="Q24" i="26"/>
  <c r="P24" i="26"/>
  <c r="O24" i="26"/>
  <c r="N24" i="26"/>
  <c r="M24" i="26"/>
  <c r="L24" i="26"/>
  <c r="AN18" i="26"/>
  <c r="AM18" i="26"/>
  <c r="AL18" i="26"/>
  <c r="AK18" i="26"/>
  <c r="AJ18" i="26"/>
  <c r="AN17" i="26"/>
  <c r="AM17" i="26"/>
  <c r="AL17" i="26"/>
  <c r="AK17" i="26"/>
  <c r="AJ17" i="26"/>
  <c r="AN16" i="26"/>
  <c r="AM16" i="26"/>
  <c r="AL16" i="26"/>
  <c r="AK16" i="26"/>
  <c r="AJ16" i="26"/>
  <c r="AN15" i="26"/>
  <c r="AM15" i="26"/>
  <c r="AL15" i="26"/>
  <c r="AK15" i="26"/>
  <c r="AJ15" i="26"/>
  <c r="B74" i="26"/>
  <c r="Q74" i="26"/>
  <c r="B15" i="26"/>
  <c r="AN14" i="26"/>
  <c r="AM14" i="26"/>
  <c r="AL14" i="26"/>
  <c r="AK14" i="26"/>
  <c r="AJ14" i="26"/>
  <c r="AN13" i="26"/>
  <c r="AM13" i="26"/>
  <c r="AL13" i="26"/>
  <c r="AK13" i="26"/>
  <c r="AJ13" i="26"/>
  <c r="AN12" i="26"/>
  <c r="B14" i="23"/>
  <c r="K24" i="26"/>
  <c r="J24" i="26"/>
  <c r="I24" i="26"/>
  <c r="H24" i="26"/>
  <c r="G24" i="26"/>
  <c r="F24" i="26"/>
  <c r="E24" i="26"/>
  <c r="D24" i="26"/>
  <c r="C24" i="26"/>
  <c r="AN23" i="26"/>
  <c r="AM23" i="26"/>
  <c r="AL23" i="26"/>
  <c r="AK23" i="26"/>
  <c r="AJ23" i="26"/>
  <c r="T23" i="26"/>
  <c r="S23" i="26"/>
  <c r="R23" i="26"/>
  <c r="Q23" i="26"/>
  <c r="P23" i="26"/>
  <c r="O23" i="26"/>
  <c r="N23" i="26"/>
  <c r="M23" i="26"/>
  <c r="L23" i="26"/>
  <c r="K23" i="26"/>
  <c r="J23" i="26"/>
  <c r="I23" i="26"/>
  <c r="H23" i="26"/>
  <c r="G23" i="26"/>
  <c r="F23" i="26"/>
  <c r="E23" i="26"/>
  <c r="D23" i="26"/>
  <c r="C23" i="26"/>
  <c r="AN22" i="26"/>
  <c r="AM22" i="26"/>
  <c r="AL22" i="26"/>
  <c r="AK22" i="26"/>
  <c r="AJ22" i="26"/>
  <c r="T22" i="26"/>
  <c r="S22" i="26"/>
  <c r="R22" i="26"/>
  <c r="Q22" i="26"/>
  <c r="P22" i="26"/>
  <c r="O22" i="26"/>
  <c r="N22" i="26"/>
  <c r="M22" i="26"/>
  <c r="L22" i="26"/>
  <c r="K22" i="26"/>
  <c r="J22" i="26"/>
  <c r="I22" i="26"/>
  <c r="H22" i="26"/>
  <c r="G22" i="26"/>
  <c r="F22" i="26"/>
  <c r="E22" i="26"/>
  <c r="D22" i="26"/>
  <c r="C22" i="26"/>
  <c r="AN21" i="26"/>
  <c r="AM21" i="26"/>
  <c r="AL21" i="26"/>
  <c r="AK21" i="26"/>
  <c r="AJ21" i="26"/>
  <c r="T21" i="26"/>
  <c r="S21" i="26"/>
  <c r="R21" i="26"/>
  <c r="Q21" i="26"/>
  <c r="P21" i="26"/>
  <c r="O21" i="26"/>
  <c r="N21" i="26"/>
  <c r="M21" i="26"/>
  <c r="L21" i="26"/>
  <c r="K21" i="26"/>
  <c r="J21" i="26"/>
  <c r="I21" i="26"/>
  <c r="H21" i="26"/>
  <c r="G21" i="26"/>
  <c r="F21" i="26"/>
  <c r="E21" i="26"/>
  <c r="D21" i="26"/>
  <c r="C21" i="26"/>
  <c r="AN20" i="26"/>
  <c r="AM20" i="26"/>
  <c r="AL20" i="26"/>
  <c r="AK20" i="26"/>
  <c r="AJ20" i="26"/>
  <c r="AN19" i="26"/>
  <c r="AM19" i="26"/>
  <c r="AL19" i="26"/>
  <c r="AK19" i="26"/>
  <c r="AJ19" i="26"/>
  <c r="CG30" i="8"/>
  <c r="CF30" i="8"/>
  <c r="CG29" i="8"/>
  <c r="CF29" i="8"/>
  <c r="CG28" i="8"/>
  <c r="CF28" i="8"/>
  <c r="CG27" i="8"/>
  <c r="CF27" i="8"/>
  <c r="CG26" i="8"/>
  <c r="CF26" i="8"/>
  <c r="CG25" i="8"/>
  <c r="CF25" i="8"/>
  <c r="CG24" i="8"/>
  <c r="CF24" i="8"/>
  <c r="CG23" i="8"/>
  <c r="CF23" i="8"/>
  <c r="CG22" i="8"/>
  <c r="CF22" i="8"/>
  <c r="CG21" i="8"/>
  <c r="CF21" i="8"/>
  <c r="CG20" i="8"/>
  <c r="CF20" i="8"/>
  <c r="CG19" i="8"/>
  <c r="CF19" i="8"/>
  <c r="CG18" i="8"/>
  <c r="CF18" i="8"/>
  <c r="CG17" i="8"/>
  <c r="CF17" i="8"/>
  <c r="CG16" i="8"/>
  <c r="CF16" i="8"/>
  <c r="CG15" i="8"/>
  <c r="CF15" i="8"/>
  <c r="CG14" i="8"/>
  <c r="CF14" i="8"/>
  <c r="CG13" i="8"/>
  <c r="CF13" i="8"/>
  <c r="CG12" i="8"/>
  <c r="CF12" i="8"/>
  <c r="CG11" i="8"/>
  <c r="CF11" i="8"/>
  <c r="CG10" i="8"/>
  <c r="CF10" i="8"/>
  <c r="CG9" i="8"/>
  <c r="CF9" i="8"/>
  <c r="CG8" i="8"/>
  <c r="CF8" i="8"/>
  <c r="CG7" i="8"/>
  <c r="CF7" i="8"/>
  <c r="CG6" i="8"/>
  <c r="CF6" i="8"/>
  <c r="AM12" i="26"/>
  <c r="AL12" i="26"/>
  <c r="AK12" i="26"/>
  <c r="AJ12" i="26"/>
  <c r="H36" i="26"/>
  <c r="M665" i="22"/>
  <c r="H85" i="12"/>
  <c r="G85" i="12"/>
  <c r="D85" i="12"/>
  <c r="C85" i="12"/>
  <c r="B85" i="12"/>
  <c r="A85" i="12"/>
  <c r="L85" i="11"/>
  <c r="K85" i="11"/>
  <c r="J85" i="11"/>
  <c r="I85" i="11"/>
  <c r="H85" i="11"/>
  <c r="G85" i="11"/>
  <c r="D85" i="11"/>
  <c r="C85" i="11"/>
  <c r="B85" i="11"/>
  <c r="A85" i="11"/>
  <c r="J85" i="12"/>
  <c r="I85" i="12"/>
  <c r="P665" i="22"/>
  <c r="O665" i="22"/>
  <c r="N665" i="22"/>
  <c r="A84" i="11"/>
  <c r="J84" i="12"/>
  <c r="O664" i="22"/>
  <c r="N664" i="22"/>
  <c r="M664" i="22"/>
  <c r="L84" i="11"/>
  <c r="K84" i="11"/>
  <c r="J84" i="11"/>
  <c r="I84" i="11"/>
  <c r="H84" i="11"/>
  <c r="G84" i="11"/>
  <c r="D84" i="11"/>
  <c r="C84" i="11"/>
  <c r="P664" i="22"/>
  <c r="A84" i="12"/>
  <c r="B84" i="12"/>
  <c r="C84" i="12"/>
  <c r="D84" i="12"/>
  <c r="G84" i="12"/>
  <c r="H84" i="12"/>
  <c r="I84" i="12"/>
  <c r="B84" i="11"/>
  <c r="P663" i="22"/>
  <c r="O663" i="22"/>
  <c r="N663" i="22"/>
  <c r="M663" i="22"/>
  <c r="L83" i="11"/>
  <c r="K83" i="11"/>
  <c r="J83" i="11"/>
  <c r="I83" i="11"/>
  <c r="J83" i="12"/>
  <c r="I83" i="12"/>
  <c r="H83" i="12"/>
  <c r="G83" i="12"/>
  <c r="H83" i="11"/>
  <c r="D83" i="12"/>
  <c r="C83" i="12"/>
  <c r="B83" i="12"/>
  <c r="A83" i="12"/>
  <c r="G83" i="11"/>
  <c r="D83" i="11"/>
  <c r="C83" i="11"/>
  <c r="B83" i="11"/>
  <c r="A83" i="11"/>
  <c r="C82" i="12"/>
  <c r="L82" i="11"/>
  <c r="A82" i="12"/>
  <c r="D82" i="12"/>
  <c r="G82" i="12"/>
  <c r="H82" i="12"/>
  <c r="I82" i="12"/>
  <c r="J82" i="12"/>
  <c r="C82" i="11"/>
  <c r="D82" i="11"/>
  <c r="G82" i="11"/>
  <c r="B82" i="11"/>
  <c r="A82" i="11"/>
  <c r="M662" i="22"/>
  <c r="N662" i="22"/>
  <c r="O662" i="22"/>
  <c r="P662" i="22"/>
  <c r="H82" i="11"/>
  <c r="I82" i="11"/>
  <c r="J82" i="11"/>
  <c r="K82" i="11"/>
  <c r="B82" i="12"/>
  <c r="D81" i="11"/>
  <c r="G81" i="11"/>
  <c r="H81" i="11"/>
  <c r="A81" i="11"/>
  <c r="B81" i="11"/>
  <c r="I81" i="11"/>
  <c r="J81" i="11"/>
  <c r="K81" i="11"/>
  <c r="L81" i="11"/>
  <c r="P661" i="22"/>
  <c r="O661" i="22"/>
  <c r="N661" i="22"/>
  <c r="M661" i="22"/>
  <c r="J81" i="12"/>
  <c r="I81" i="12"/>
  <c r="H81" i="12"/>
  <c r="G81" i="12"/>
  <c r="C81" i="11"/>
  <c r="A81" i="12"/>
  <c r="B81" i="12"/>
  <c r="C81" i="12"/>
  <c r="D81" i="12"/>
  <c r="I80" i="11"/>
  <c r="J80" i="12"/>
  <c r="G80" i="12"/>
  <c r="D80" i="11"/>
  <c r="C80" i="11"/>
  <c r="B80" i="11"/>
  <c r="A80" i="11"/>
  <c r="M660" i="22"/>
  <c r="N660" i="22"/>
  <c r="O660" i="22"/>
  <c r="P660" i="22"/>
  <c r="D80" i="12"/>
  <c r="C80" i="12"/>
  <c r="B80" i="12"/>
  <c r="A80" i="12"/>
  <c r="G80" i="11"/>
  <c r="H80" i="11"/>
  <c r="L80" i="11"/>
  <c r="K80" i="11"/>
  <c r="I80" i="12"/>
  <c r="J80" i="11"/>
  <c r="H80" i="12"/>
  <c r="G79" i="12"/>
  <c r="B79" i="11"/>
  <c r="B79" i="12"/>
  <c r="C79" i="12"/>
  <c r="D79" i="12"/>
  <c r="A79" i="11"/>
  <c r="H79" i="12"/>
  <c r="I79" i="12"/>
  <c r="J79" i="12"/>
  <c r="M659" i="22"/>
  <c r="N659" i="22"/>
  <c r="O659" i="22"/>
  <c r="P659" i="22"/>
  <c r="L79" i="11"/>
  <c r="K79" i="11"/>
  <c r="J79" i="11"/>
  <c r="I79" i="11"/>
  <c r="H79" i="11"/>
  <c r="G79" i="11"/>
  <c r="D79" i="11"/>
  <c r="C79" i="11"/>
  <c r="A79" i="12"/>
  <c r="B78" i="13"/>
  <c r="J78" i="12"/>
  <c r="M658" i="22"/>
  <c r="N658" i="22"/>
  <c r="O658" i="22"/>
  <c r="P658" i="22"/>
  <c r="L78" i="11"/>
  <c r="K78" i="11"/>
  <c r="J78" i="11"/>
  <c r="I78" i="11"/>
  <c r="H78" i="11"/>
  <c r="G78" i="11"/>
  <c r="A78" i="13"/>
  <c r="D78" i="11"/>
  <c r="C78" i="11"/>
  <c r="B78" i="11"/>
  <c r="A78" i="11"/>
  <c r="C78" i="13"/>
  <c r="I78" i="12"/>
  <c r="H78" i="12"/>
  <c r="G78" i="12"/>
  <c r="A78" i="12"/>
  <c r="B78" i="12"/>
  <c r="C78" i="12"/>
  <c r="D78" i="12"/>
  <c r="D78" i="13"/>
  <c r="J77" i="12"/>
  <c r="I77" i="12"/>
  <c r="H77" i="12"/>
  <c r="G77" i="12"/>
  <c r="B77" i="11"/>
  <c r="C77" i="11"/>
  <c r="D77" i="11"/>
  <c r="G77" i="11"/>
  <c r="H77" i="11"/>
  <c r="I77" i="11"/>
  <c r="J77" i="11"/>
  <c r="K77" i="11"/>
  <c r="L77" i="11"/>
  <c r="D77" i="12"/>
  <c r="C77" i="12"/>
  <c r="B77" i="12"/>
  <c r="A77" i="12"/>
  <c r="A77" i="13"/>
  <c r="B77" i="13"/>
  <c r="C77" i="13"/>
  <c r="D77" i="13"/>
  <c r="G77" i="13"/>
  <c r="H77" i="13"/>
  <c r="I77" i="13"/>
  <c r="J77" i="13"/>
  <c r="K77" i="13"/>
  <c r="L77" i="13"/>
  <c r="F77" i="13"/>
  <c r="P657" i="22"/>
  <c r="O657" i="22"/>
  <c r="N657" i="22"/>
  <c r="M657" i="22"/>
  <c r="E77" i="13"/>
  <c r="A77" i="11"/>
  <c r="C76" i="13"/>
  <c r="A76" i="12"/>
  <c r="I76" i="13"/>
  <c r="B76" i="13"/>
  <c r="D76" i="13"/>
  <c r="K76" i="13"/>
  <c r="N656" i="22"/>
  <c r="O656" i="22"/>
  <c r="P656" i="22"/>
  <c r="L76" i="11"/>
  <c r="K76" i="11"/>
  <c r="J76" i="11"/>
  <c r="I76" i="11"/>
  <c r="H76" i="11"/>
  <c r="G76" i="11"/>
  <c r="D76" i="11"/>
  <c r="C76" i="11"/>
  <c r="B76" i="11"/>
  <c r="A76" i="11"/>
  <c r="L76" i="13"/>
  <c r="A76" i="13"/>
  <c r="H76" i="13"/>
  <c r="G76" i="13"/>
  <c r="F76" i="13"/>
  <c r="E76" i="13"/>
  <c r="J76" i="13"/>
  <c r="J76" i="12"/>
  <c r="I76" i="12"/>
  <c r="H76" i="12"/>
  <c r="G76" i="12"/>
  <c r="D76" i="12"/>
  <c r="C76" i="12"/>
  <c r="B76" i="12"/>
  <c r="M656" i="22"/>
  <c r="J75" i="12"/>
  <c r="N655" i="22"/>
  <c r="H75" i="12"/>
  <c r="G75" i="12"/>
  <c r="D75" i="12"/>
  <c r="C75" i="12"/>
  <c r="B75" i="12"/>
  <c r="A75" i="12"/>
  <c r="A75" i="13"/>
  <c r="G75" i="11"/>
  <c r="H75" i="11"/>
  <c r="B75" i="13"/>
  <c r="C75" i="13"/>
  <c r="D75" i="13"/>
  <c r="E75" i="13"/>
  <c r="F75" i="13"/>
  <c r="G75" i="13"/>
  <c r="H75" i="13"/>
  <c r="I75" i="13"/>
  <c r="J75" i="13"/>
  <c r="K75" i="13"/>
  <c r="I75" i="11"/>
  <c r="J75" i="11"/>
  <c r="L75" i="13"/>
  <c r="K75" i="11"/>
  <c r="L75" i="11"/>
  <c r="D75" i="11"/>
  <c r="C75" i="11"/>
  <c r="B75" i="11"/>
  <c r="A75" i="11"/>
  <c r="P655" i="22"/>
  <c r="M655" i="22"/>
  <c r="O655" i="22"/>
  <c r="I75" i="12"/>
  <c r="D74" i="11"/>
  <c r="D74" i="13"/>
  <c r="I74" i="12"/>
  <c r="H74" i="12"/>
  <c r="G74" i="11"/>
  <c r="H74" i="11"/>
  <c r="I74" i="11"/>
  <c r="J74" i="11"/>
  <c r="K74" i="11"/>
  <c r="L74" i="11"/>
  <c r="C74" i="11"/>
  <c r="B74" i="11"/>
  <c r="A74" i="11"/>
  <c r="G74" i="12"/>
  <c r="M654" i="22"/>
  <c r="D74" i="12"/>
  <c r="C74" i="12"/>
  <c r="B74" i="12"/>
  <c r="A74" i="12"/>
  <c r="A74" i="13"/>
  <c r="B74" i="13"/>
  <c r="C74" i="13"/>
  <c r="P654" i="22"/>
  <c r="O654" i="22"/>
  <c r="N654" i="22"/>
  <c r="L74" i="13"/>
  <c r="K74" i="13"/>
  <c r="J74" i="13"/>
  <c r="I74" i="13"/>
  <c r="H74" i="13"/>
  <c r="G74" i="13"/>
  <c r="F74" i="13"/>
  <c r="E74" i="13"/>
  <c r="J74" i="12"/>
  <c r="C73" i="12"/>
  <c r="A73" i="11"/>
  <c r="B73" i="11"/>
  <c r="L73" i="13"/>
  <c r="K73" i="13"/>
  <c r="J73" i="13"/>
  <c r="I73" i="13"/>
  <c r="H73" i="13"/>
  <c r="G73" i="13"/>
  <c r="F73" i="13"/>
  <c r="E73" i="13"/>
  <c r="D73" i="13"/>
  <c r="C73" i="13"/>
  <c r="B73" i="13"/>
  <c r="A73" i="13"/>
  <c r="D73" i="12"/>
  <c r="G73" i="12"/>
  <c r="H73" i="12"/>
  <c r="I73" i="12"/>
  <c r="J73" i="12"/>
  <c r="C73" i="11"/>
  <c r="D73" i="11"/>
  <c r="G73" i="11"/>
  <c r="H73" i="11"/>
  <c r="I73" i="11"/>
  <c r="P653" i="22"/>
  <c r="J73" i="11"/>
  <c r="O653" i="22"/>
  <c r="N653" i="22"/>
  <c r="M653" i="22"/>
  <c r="K73" i="11"/>
  <c r="L73" i="11"/>
  <c r="B73" i="12"/>
  <c r="A73" i="12"/>
  <c r="B72" i="12"/>
  <c r="D72" i="12"/>
  <c r="I72" i="11"/>
  <c r="H72" i="11"/>
  <c r="G72" i="11"/>
  <c r="D72" i="11"/>
  <c r="C72" i="11"/>
  <c r="B72" i="11"/>
  <c r="A72" i="11"/>
  <c r="K72" i="11"/>
  <c r="M652" i="22"/>
  <c r="N652" i="22"/>
  <c r="O652" i="22"/>
  <c r="P652" i="22"/>
  <c r="A72" i="13"/>
  <c r="B72" i="13"/>
  <c r="C72" i="13"/>
  <c r="D72" i="13"/>
  <c r="E72" i="13"/>
  <c r="F72" i="13"/>
  <c r="G72" i="13"/>
  <c r="H72" i="13"/>
  <c r="I72" i="13"/>
  <c r="J72" i="13"/>
  <c r="K72" i="13"/>
  <c r="L72" i="13"/>
  <c r="L72" i="11"/>
  <c r="C72" i="12"/>
  <c r="A72" i="12"/>
  <c r="J72" i="12"/>
  <c r="I72" i="12"/>
  <c r="H72" i="12"/>
  <c r="G72" i="12"/>
  <c r="J72" i="11"/>
  <c r="J71" i="13"/>
  <c r="M651" i="22"/>
  <c r="I71" i="11"/>
  <c r="K71" i="11"/>
  <c r="B71" i="11"/>
  <c r="A71" i="11"/>
  <c r="G71" i="11"/>
  <c r="H71" i="11"/>
  <c r="J71" i="11"/>
  <c r="L71" i="11"/>
  <c r="A71" i="13"/>
  <c r="D71" i="11"/>
  <c r="A71" i="12"/>
  <c r="B71" i="12"/>
  <c r="C71" i="12"/>
  <c r="D71" i="12"/>
  <c r="G71" i="12"/>
  <c r="H71" i="12"/>
  <c r="I71" i="12"/>
  <c r="J71" i="12"/>
  <c r="K71" i="13"/>
  <c r="L71" i="13"/>
  <c r="I71" i="13"/>
  <c r="H71" i="13"/>
  <c r="G71" i="13"/>
  <c r="F71" i="13"/>
  <c r="E71" i="13"/>
  <c r="D71" i="13"/>
  <c r="C71" i="13"/>
  <c r="B71" i="13"/>
  <c r="P651" i="22"/>
  <c r="O651" i="22"/>
  <c r="N651" i="22"/>
  <c r="C71" i="11"/>
  <c r="J70" i="12"/>
  <c r="O650" i="22"/>
  <c r="N650" i="22"/>
  <c r="M650" i="22"/>
  <c r="I70" i="12"/>
  <c r="L70" i="13"/>
  <c r="K70" i="13"/>
  <c r="J70" i="13"/>
  <c r="I70" i="13"/>
  <c r="H70" i="13"/>
  <c r="G70" i="13"/>
  <c r="F70" i="13"/>
  <c r="E70" i="13"/>
  <c r="D70" i="13"/>
  <c r="A70" i="13"/>
  <c r="B70" i="13"/>
  <c r="C70" i="13"/>
  <c r="H70" i="12"/>
  <c r="G70" i="12"/>
  <c r="D70" i="12"/>
  <c r="C70" i="12"/>
  <c r="A70" i="11"/>
  <c r="B70" i="11"/>
  <c r="C70" i="11"/>
  <c r="D70" i="11"/>
  <c r="G70" i="11"/>
  <c r="H70" i="11"/>
  <c r="I70" i="11"/>
  <c r="J70" i="11"/>
  <c r="K70" i="11"/>
  <c r="L70" i="11"/>
  <c r="B70" i="12"/>
  <c r="A70" i="12"/>
  <c r="P650" i="22"/>
  <c r="H69" i="12"/>
  <c r="M649" i="22"/>
  <c r="K69" i="11"/>
  <c r="J69" i="11"/>
  <c r="I69" i="11"/>
  <c r="I69" i="12"/>
  <c r="H69" i="11"/>
  <c r="J69" i="12"/>
  <c r="G69" i="11"/>
  <c r="L69" i="13"/>
  <c r="K69" i="13"/>
  <c r="J69" i="13"/>
  <c r="I69" i="13"/>
  <c r="H69" i="13"/>
  <c r="G69" i="13"/>
  <c r="F69" i="13"/>
  <c r="E69" i="13"/>
  <c r="A69" i="12"/>
  <c r="B69" i="12"/>
  <c r="C69" i="12"/>
  <c r="D69" i="13"/>
  <c r="C69" i="13"/>
  <c r="D69" i="12"/>
  <c r="A69" i="11"/>
  <c r="B69" i="11"/>
  <c r="C69" i="11"/>
  <c r="D69" i="11"/>
  <c r="G69" i="12"/>
  <c r="L69" i="11"/>
  <c r="J69" i="10"/>
  <c r="A69" i="13"/>
  <c r="B69" i="13"/>
  <c r="P649" i="22"/>
  <c r="O649" i="22"/>
  <c r="N649" i="22"/>
  <c r="L68" i="13"/>
  <c r="D68" i="12"/>
  <c r="O648" i="22"/>
  <c r="N648" i="22"/>
  <c r="M648" i="22"/>
  <c r="J68" i="10"/>
  <c r="K68" i="13"/>
  <c r="J68" i="13"/>
  <c r="I68" i="13"/>
  <c r="H68" i="13"/>
  <c r="G68" i="13"/>
  <c r="F68" i="13"/>
  <c r="E68" i="13"/>
  <c r="D68" i="13"/>
  <c r="C68" i="13"/>
  <c r="B68" i="13"/>
  <c r="A68" i="13"/>
  <c r="I68" i="10"/>
  <c r="H68" i="10"/>
  <c r="G68" i="10"/>
  <c r="D68" i="10"/>
  <c r="C68" i="10"/>
  <c r="L68" i="11"/>
  <c r="K68" i="11"/>
  <c r="J68" i="11"/>
  <c r="I68" i="11"/>
  <c r="H68" i="11"/>
  <c r="G68" i="11"/>
  <c r="D68" i="11"/>
  <c r="A68" i="12"/>
  <c r="B68" i="12"/>
  <c r="C68" i="12"/>
  <c r="B68" i="10"/>
  <c r="A68" i="10"/>
  <c r="A68" i="11"/>
  <c r="B68" i="11"/>
  <c r="C68" i="11"/>
  <c r="J68" i="12"/>
  <c r="I68" i="12"/>
  <c r="H68" i="12"/>
  <c r="G68" i="12"/>
  <c r="P648" i="22"/>
  <c r="B67" i="10"/>
  <c r="H67" i="11"/>
  <c r="J67" i="11"/>
  <c r="L67" i="11"/>
  <c r="K67" i="11"/>
  <c r="I67" i="11"/>
  <c r="G67" i="11"/>
  <c r="D67" i="11"/>
  <c r="C67" i="11"/>
  <c r="B67" i="11"/>
  <c r="A67" i="11"/>
  <c r="M647" i="22"/>
  <c r="N647" i="22"/>
  <c r="O647" i="22"/>
  <c r="P647" i="22"/>
  <c r="E67" i="13"/>
  <c r="F67" i="13"/>
  <c r="G67" i="13"/>
  <c r="H67" i="13"/>
  <c r="I67" i="13"/>
  <c r="J67" i="13"/>
  <c r="K67" i="13"/>
  <c r="L67" i="13"/>
  <c r="J67" i="12"/>
  <c r="I67" i="12"/>
  <c r="H67" i="12"/>
  <c r="G67" i="12"/>
  <c r="D67" i="12"/>
  <c r="C67" i="12"/>
  <c r="B67" i="12"/>
  <c r="A67" i="12"/>
  <c r="J67" i="10"/>
  <c r="I67" i="10"/>
  <c r="H67" i="10"/>
  <c r="A67" i="13"/>
  <c r="B67" i="13"/>
  <c r="C67" i="13"/>
  <c r="D67" i="13"/>
  <c r="G67" i="10"/>
  <c r="D67" i="10"/>
  <c r="C67" i="10"/>
  <c r="A67" i="10"/>
  <c r="O646" i="22"/>
  <c r="P646" i="22"/>
  <c r="I66" i="10"/>
  <c r="J66" i="10"/>
  <c r="G66" i="10"/>
  <c r="D66" i="10"/>
  <c r="C66" i="10"/>
  <c r="B66" i="10"/>
  <c r="A66" i="10"/>
  <c r="L66" i="13"/>
  <c r="K66" i="13"/>
  <c r="J66" i="13"/>
  <c r="M646" i="22"/>
  <c r="N646" i="22"/>
  <c r="A66" i="12"/>
  <c r="B66" i="12"/>
  <c r="C66" i="12"/>
  <c r="D66" i="12"/>
  <c r="G66" i="12"/>
  <c r="H66" i="12"/>
  <c r="I66" i="12"/>
  <c r="J66" i="12"/>
  <c r="I66" i="13"/>
  <c r="H66" i="13"/>
  <c r="G66" i="13"/>
  <c r="F66" i="13"/>
  <c r="E66" i="13"/>
  <c r="D66" i="13"/>
  <c r="C66" i="13"/>
  <c r="B66" i="13"/>
  <c r="A66" i="13"/>
  <c r="A66" i="11"/>
  <c r="B66" i="11"/>
  <c r="C66" i="11"/>
  <c r="D66" i="11"/>
  <c r="G66" i="11"/>
  <c r="H66" i="11"/>
  <c r="I66" i="11"/>
  <c r="J66" i="11"/>
  <c r="K66" i="11"/>
  <c r="L66" i="11"/>
  <c r="H66" i="10"/>
  <c r="G65" i="13"/>
  <c r="I65" i="13"/>
  <c r="I65" i="12"/>
  <c r="P645" i="22"/>
  <c r="O645" i="22"/>
  <c r="N645" i="22"/>
  <c r="H65" i="12"/>
  <c r="G65" i="12"/>
  <c r="D65" i="12"/>
  <c r="C65" i="12"/>
  <c r="B65" i="12"/>
  <c r="A65" i="12"/>
  <c r="J65" i="10"/>
  <c r="I65" i="10"/>
  <c r="H65" i="10"/>
  <c r="G65" i="10"/>
  <c r="D65" i="10"/>
  <c r="C65" i="10"/>
  <c r="B65" i="10"/>
  <c r="A65" i="10"/>
  <c r="L65" i="11"/>
  <c r="K65" i="11"/>
  <c r="M645" i="22"/>
  <c r="J65" i="11"/>
  <c r="I65" i="11"/>
  <c r="H65" i="11"/>
  <c r="G65" i="11"/>
  <c r="D65" i="11"/>
  <c r="C65" i="11"/>
  <c r="J65" i="12"/>
  <c r="A65" i="11"/>
  <c r="A65" i="13"/>
  <c r="B65" i="13"/>
  <c r="C65" i="13"/>
  <c r="D65" i="13"/>
  <c r="E65" i="13"/>
  <c r="F65" i="13"/>
  <c r="H65" i="13"/>
  <c r="L65" i="13"/>
  <c r="K65" i="13"/>
  <c r="J65" i="13"/>
  <c r="B65" i="11"/>
  <c r="L64" i="11"/>
  <c r="M644" i="22"/>
  <c r="P644" i="22"/>
  <c r="A64" i="10"/>
  <c r="N644" i="22"/>
  <c r="O644" i="22"/>
  <c r="J64" i="12"/>
  <c r="I64" i="12"/>
  <c r="L64" i="13"/>
  <c r="K64" i="13"/>
  <c r="J64" i="13"/>
  <c r="I64" i="13"/>
  <c r="H64" i="13"/>
  <c r="G64" i="13"/>
  <c r="F64" i="13"/>
  <c r="E64" i="13"/>
  <c r="D64" i="13"/>
  <c r="C64" i="13"/>
  <c r="B64" i="13"/>
  <c r="A64" i="13"/>
  <c r="B64" i="10"/>
  <c r="C64" i="10"/>
  <c r="D64" i="10"/>
  <c r="G64" i="10"/>
  <c r="H64" i="10"/>
  <c r="I64" i="10"/>
  <c r="J64" i="10"/>
  <c r="A64" i="12"/>
  <c r="B64" i="12"/>
  <c r="C64" i="12"/>
  <c r="D64" i="12"/>
  <c r="G64" i="12"/>
  <c r="A64" i="11"/>
  <c r="B64" i="11"/>
  <c r="C64" i="11"/>
  <c r="D64" i="11"/>
  <c r="G64" i="11"/>
  <c r="H64" i="11"/>
  <c r="I64" i="11"/>
  <c r="J64" i="11"/>
  <c r="K64" i="11"/>
  <c r="H64" i="12"/>
  <c r="C63" i="10"/>
  <c r="D63" i="10"/>
  <c r="B63" i="12"/>
  <c r="C63" i="12"/>
  <c r="L63" i="11"/>
  <c r="K63" i="11"/>
  <c r="J63" i="11"/>
  <c r="I63" i="11"/>
  <c r="A63" i="13"/>
  <c r="B63" i="13"/>
  <c r="C63" i="13"/>
  <c r="D63" i="13"/>
  <c r="E63" i="13"/>
  <c r="F63" i="13"/>
  <c r="A63" i="10"/>
  <c r="B63" i="10"/>
  <c r="G63" i="13"/>
  <c r="H63" i="13"/>
  <c r="I63" i="13"/>
  <c r="J63" i="13"/>
  <c r="K63" i="13"/>
  <c r="L63" i="13"/>
  <c r="M643" i="22"/>
  <c r="O643" i="22"/>
  <c r="P643" i="22"/>
  <c r="J63" i="10"/>
  <c r="I63" i="10"/>
  <c r="H63" i="10"/>
  <c r="D63" i="12"/>
  <c r="G63" i="12"/>
  <c r="H63" i="12"/>
  <c r="N643" i="22"/>
  <c r="I63" i="12"/>
  <c r="J63" i="12"/>
  <c r="G63" i="10"/>
  <c r="H63" i="11"/>
  <c r="G63" i="11"/>
  <c r="D63" i="11"/>
  <c r="C63" i="11"/>
  <c r="B63" i="11"/>
  <c r="A63" i="11"/>
  <c r="A63" i="12"/>
  <c r="C62" i="12"/>
  <c r="D62" i="13"/>
  <c r="H62" i="11"/>
  <c r="G62" i="11"/>
  <c r="J62" i="11"/>
  <c r="K62" i="11"/>
  <c r="L62" i="11"/>
  <c r="A62" i="12"/>
  <c r="B62" i="12"/>
  <c r="A62" i="13"/>
  <c r="B62" i="13"/>
  <c r="D62" i="12"/>
  <c r="F62" i="13"/>
  <c r="G62" i="13"/>
  <c r="H62" i="13"/>
  <c r="I62" i="13"/>
  <c r="J62" i="13"/>
  <c r="K62" i="13"/>
  <c r="L62" i="13"/>
  <c r="J62" i="10"/>
  <c r="I62" i="10"/>
  <c r="H62" i="10"/>
  <c r="G62" i="10"/>
  <c r="D62" i="10"/>
  <c r="C62" i="10"/>
  <c r="B62" i="10"/>
  <c r="A62" i="10"/>
  <c r="J62" i="12"/>
  <c r="I62" i="12"/>
  <c r="H62" i="12"/>
  <c r="D62" i="11"/>
  <c r="C62" i="11"/>
  <c r="B62" i="11"/>
  <c r="A62" i="11"/>
  <c r="G62" i="12"/>
  <c r="M642" i="22"/>
  <c r="N642" i="22"/>
  <c r="O642" i="22"/>
  <c r="P642" i="22"/>
  <c r="C62" i="13"/>
  <c r="E62" i="13"/>
  <c r="I62" i="11"/>
  <c r="H61" i="10"/>
  <c r="J61" i="12"/>
  <c r="O641" i="22"/>
  <c r="N641" i="22"/>
  <c r="M641" i="22"/>
  <c r="A61" i="11"/>
  <c r="B61" i="11"/>
  <c r="C61" i="11"/>
  <c r="D61" i="11"/>
  <c r="G61" i="11"/>
  <c r="H61" i="11"/>
  <c r="I61" i="11"/>
  <c r="J61" i="11"/>
  <c r="K61" i="11"/>
  <c r="L61" i="11"/>
  <c r="A61" i="12"/>
  <c r="B61" i="12"/>
  <c r="C61" i="12"/>
  <c r="D61" i="12"/>
  <c r="A61" i="13"/>
  <c r="B61" i="13"/>
  <c r="C61" i="13"/>
  <c r="D61" i="13"/>
  <c r="E61" i="13"/>
  <c r="F61" i="13"/>
  <c r="G61" i="13"/>
  <c r="H61" i="13"/>
  <c r="I61" i="13"/>
  <c r="J61" i="13"/>
  <c r="K61" i="13"/>
  <c r="L61" i="13"/>
  <c r="J61" i="10"/>
  <c r="I61" i="10"/>
  <c r="G61" i="10"/>
  <c r="D61" i="10"/>
  <c r="C61" i="10"/>
  <c r="B61" i="10"/>
  <c r="A61" i="10"/>
  <c r="G61" i="12"/>
  <c r="H61" i="12"/>
  <c r="I61" i="12"/>
  <c r="P641" i="22"/>
  <c r="B60" i="11"/>
  <c r="C60" i="10"/>
  <c r="B60" i="10"/>
  <c r="A60" i="10"/>
  <c r="G60" i="10"/>
  <c r="H60" i="10"/>
  <c r="I60" i="10"/>
  <c r="J60" i="10"/>
  <c r="A60" i="11"/>
  <c r="L60" i="13"/>
  <c r="K60" i="13"/>
  <c r="J60" i="13"/>
  <c r="I60" i="13"/>
  <c r="J60" i="12"/>
  <c r="I60" i="12"/>
  <c r="H60" i="12"/>
  <c r="G60" i="12"/>
  <c r="D60" i="12"/>
  <c r="C60" i="12"/>
  <c r="B60" i="12"/>
  <c r="A60" i="12"/>
  <c r="H60" i="13"/>
  <c r="G60" i="13"/>
  <c r="F60" i="13"/>
  <c r="E60" i="13"/>
  <c r="D60" i="13"/>
  <c r="C60" i="13"/>
  <c r="B60" i="13"/>
  <c r="A60" i="13"/>
  <c r="M640" i="22"/>
  <c r="N640" i="22"/>
  <c r="O640" i="22"/>
  <c r="P640" i="22"/>
  <c r="L60" i="11"/>
  <c r="K60" i="11"/>
  <c r="J60" i="11"/>
  <c r="I60" i="11"/>
  <c r="H60" i="11"/>
  <c r="G60" i="11"/>
  <c r="D60" i="11"/>
  <c r="C60" i="11"/>
  <c r="D60" i="10"/>
  <c r="A59" i="12"/>
  <c r="B59" i="10"/>
  <c r="H59" i="11"/>
  <c r="J59" i="11"/>
  <c r="A59" i="11"/>
  <c r="B59" i="11"/>
  <c r="C59" i="11"/>
  <c r="D59" i="11"/>
  <c r="M639" i="22"/>
  <c r="N639" i="22"/>
  <c r="O639" i="22"/>
  <c r="P639" i="22"/>
  <c r="G59" i="11"/>
  <c r="I59" i="11"/>
  <c r="K59" i="11"/>
  <c r="L59" i="11"/>
  <c r="G59" i="12"/>
  <c r="H59" i="12"/>
  <c r="D59" i="12"/>
  <c r="I59" i="12"/>
  <c r="C59" i="12"/>
  <c r="J59" i="12"/>
  <c r="B59" i="12"/>
  <c r="L59" i="13"/>
  <c r="K59" i="13"/>
  <c r="J59" i="13"/>
  <c r="J59" i="10"/>
  <c r="I59" i="10"/>
  <c r="H59" i="10"/>
  <c r="G59" i="10"/>
  <c r="A59" i="13"/>
  <c r="B59" i="13"/>
  <c r="C59" i="13"/>
  <c r="D59" i="13"/>
  <c r="E59" i="13"/>
  <c r="F59" i="13"/>
  <c r="G59" i="13"/>
  <c r="H59" i="13"/>
  <c r="I59" i="13"/>
  <c r="D59" i="10"/>
  <c r="C59" i="10"/>
  <c r="A59" i="10"/>
  <c r="A58" i="11"/>
  <c r="B58" i="11"/>
  <c r="G58" i="10"/>
  <c r="H58" i="10"/>
  <c r="I58" i="10"/>
  <c r="J58" i="10"/>
  <c r="D58" i="10"/>
  <c r="C58" i="10"/>
  <c r="B58" i="10"/>
  <c r="A58" i="10"/>
  <c r="L58" i="13"/>
  <c r="K58" i="13"/>
  <c r="J58" i="13"/>
  <c r="I58" i="13"/>
  <c r="H58" i="13"/>
  <c r="G58" i="13"/>
  <c r="F58" i="13"/>
  <c r="E58" i="13"/>
  <c r="D58" i="13"/>
  <c r="C58" i="13"/>
  <c r="B58" i="13"/>
  <c r="A58" i="13"/>
  <c r="A58" i="12"/>
  <c r="B58" i="12"/>
  <c r="C58" i="12"/>
  <c r="D58" i="12"/>
  <c r="J58" i="12"/>
  <c r="G58" i="12"/>
  <c r="H58" i="12"/>
  <c r="P638" i="22"/>
  <c r="O638" i="22"/>
  <c r="N638" i="22"/>
  <c r="M638" i="22"/>
  <c r="I58" i="12"/>
  <c r="L58" i="11"/>
  <c r="K58" i="11"/>
  <c r="J58" i="11"/>
  <c r="I58" i="11"/>
  <c r="H58" i="11"/>
  <c r="G58" i="11"/>
  <c r="D58" i="11"/>
  <c r="C58" i="11"/>
  <c r="E57" i="13"/>
  <c r="O637" i="22"/>
  <c r="A57" i="10"/>
  <c r="B57" i="10"/>
  <c r="C57" i="10"/>
  <c r="D57" i="10"/>
  <c r="G57" i="10"/>
  <c r="H57" i="10"/>
  <c r="I57" i="10"/>
  <c r="J57" i="10"/>
  <c r="F57" i="13"/>
  <c r="D57" i="12"/>
  <c r="C57" i="12"/>
  <c r="B57" i="12"/>
  <c r="A57" i="11"/>
  <c r="B57" i="11"/>
  <c r="C57" i="11"/>
  <c r="D57" i="11"/>
  <c r="G57" i="11"/>
  <c r="H57" i="11"/>
  <c r="I57" i="11"/>
  <c r="J57" i="11"/>
  <c r="K57" i="11"/>
  <c r="L57" i="11"/>
  <c r="A57" i="12"/>
  <c r="L57" i="13"/>
  <c r="K57" i="13"/>
  <c r="J57" i="13"/>
  <c r="I57" i="13"/>
  <c r="H57" i="13"/>
  <c r="G57" i="13"/>
  <c r="G57" i="12"/>
  <c r="H57" i="12"/>
  <c r="I57" i="12"/>
  <c r="J57" i="12"/>
  <c r="A57" i="13"/>
  <c r="B57" i="13"/>
  <c r="C57" i="13"/>
  <c r="D57" i="13"/>
  <c r="M637" i="22"/>
  <c r="N637" i="22"/>
  <c r="P637" i="22"/>
  <c r="A56" i="10"/>
  <c r="A56" i="12"/>
  <c r="D56" i="10"/>
  <c r="G56" i="10"/>
  <c r="H56" i="10"/>
  <c r="I56" i="10"/>
  <c r="J56" i="10"/>
  <c r="B56" i="13"/>
  <c r="O636" i="22"/>
  <c r="N636" i="22"/>
  <c r="M636" i="22"/>
  <c r="L56" i="13"/>
  <c r="K56" i="13"/>
  <c r="J56" i="13"/>
  <c r="I56" i="13"/>
  <c r="H56" i="13"/>
  <c r="G56" i="13"/>
  <c r="F56" i="13"/>
  <c r="E56" i="13"/>
  <c r="D56" i="13"/>
  <c r="C56" i="13"/>
  <c r="B56" i="10"/>
  <c r="A56" i="13"/>
  <c r="C56" i="10"/>
  <c r="A56" i="11"/>
  <c r="B56" i="11"/>
  <c r="C56" i="11"/>
  <c r="D56" i="11"/>
  <c r="G56" i="11"/>
  <c r="H56" i="11"/>
  <c r="I56" i="11"/>
  <c r="J56" i="11"/>
  <c r="K56" i="11"/>
  <c r="L56" i="11"/>
  <c r="J56" i="12"/>
  <c r="I56" i="12"/>
  <c r="H56" i="12"/>
  <c r="G56" i="12"/>
  <c r="D56" i="12"/>
  <c r="C56" i="12"/>
  <c r="B56" i="12"/>
  <c r="P636" i="22"/>
  <c r="J55" i="11"/>
  <c r="J55" i="10"/>
  <c r="C55" i="12"/>
  <c r="D55" i="12"/>
  <c r="H55" i="11"/>
  <c r="G55" i="12"/>
  <c r="H55" i="12"/>
  <c r="I55" i="12"/>
  <c r="J55" i="12"/>
  <c r="B55" i="12"/>
  <c r="D55" i="11"/>
  <c r="C55" i="11"/>
  <c r="B55" i="11"/>
  <c r="A55" i="11"/>
  <c r="M635" i="22"/>
  <c r="N635" i="22"/>
  <c r="O635" i="22"/>
  <c r="I55" i="11"/>
  <c r="P635" i="22"/>
  <c r="A55" i="13"/>
  <c r="B55" i="13"/>
  <c r="H55" i="10"/>
  <c r="I55" i="10"/>
  <c r="C55" i="13"/>
  <c r="D55" i="13"/>
  <c r="E55" i="13"/>
  <c r="F55" i="13"/>
  <c r="G55" i="13"/>
  <c r="H55" i="13"/>
  <c r="I55" i="13"/>
  <c r="J55" i="13"/>
  <c r="K55" i="13"/>
  <c r="L55" i="11"/>
  <c r="G55" i="10"/>
  <c r="D55" i="10"/>
  <c r="C55" i="10"/>
  <c r="B55" i="10"/>
  <c r="A55" i="10"/>
  <c r="A55" i="12"/>
  <c r="L55" i="13"/>
  <c r="K55" i="11"/>
  <c r="G55" i="11"/>
  <c r="B54" i="13"/>
  <c r="A54" i="10"/>
  <c r="B54" i="12"/>
  <c r="C54" i="12"/>
  <c r="A54" i="13"/>
  <c r="C54" i="13"/>
  <c r="D54" i="13"/>
  <c r="E54" i="13"/>
  <c r="F54" i="13"/>
  <c r="G54" i="13"/>
  <c r="H54" i="13"/>
  <c r="I54" i="13"/>
  <c r="J54" i="13"/>
  <c r="K54" i="13"/>
  <c r="L54" i="13"/>
  <c r="D54" i="12"/>
  <c r="G54" i="12"/>
  <c r="H54" i="12"/>
  <c r="I54" i="12"/>
  <c r="J54" i="12"/>
  <c r="J54" i="10"/>
  <c r="I54" i="10"/>
  <c r="H54" i="10"/>
  <c r="G54" i="10"/>
  <c r="D54" i="10"/>
  <c r="C54" i="10"/>
  <c r="B54" i="10"/>
  <c r="A54" i="11"/>
  <c r="B54" i="11"/>
  <c r="C54" i="11"/>
  <c r="D54" i="11"/>
  <c r="G54" i="11"/>
  <c r="H54" i="11"/>
  <c r="I54" i="11"/>
  <c r="J54" i="11"/>
  <c r="K54" i="11"/>
  <c r="L54" i="11"/>
  <c r="P634" i="22"/>
  <c r="O634" i="22"/>
  <c r="N634" i="22"/>
  <c r="M634" i="22"/>
  <c r="A54" i="12"/>
  <c r="N633" i="22"/>
  <c r="B53" i="12"/>
  <c r="M633" i="22"/>
  <c r="H53" i="13"/>
  <c r="A53" i="10"/>
  <c r="B53" i="10"/>
  <c r="C53" i="10"/>
  <c r="D53" i="10"/>
  <c r="G53" i="10"/>
  <c r="H53" i="10"/>
  <c r="I53" i="10"/>
  <c r="J53" i="10"/>
  <c r="A53" i="11"/>
  <c r="C53" i="12"/>
  <c r="D53" i="12"/>
  <c r="G53" i="12"/>
  <c r="H53" i="12"/>
  <c r="I53" i="12"/>
  <c r="J53" i="12"/>
  <c r="B53" i="11"/>
  <c r="C53" i="11"/>
  <c r="D53" i="11"/>
  <c r="O633" i="22"/>
  <c r="G53" i="11"/>
  <c r="H53" i="11"/>
  <c r="I53" i="11"/>
  <c r="P633" i="22"/>
  <c r="J53" i="11"/>
  <c r="K53" i="11"/>
  <c r="L53" i="11"/>
  <c r="L53" i="13"/>
  <c r="K53" i="13"/>
  <c r="J53" i="13"/>
  <c r="I53" i="13"/>
  <c r="G53" i="13"/>
  <c r="F53" i="13"/>
  <c r="E53" i="13"/>
  <c r="D53" i="13"/>
  <c r="C53" i="13"/>
  <c r="B53" i="13"/>
  <c r="A53" i="13"/>
  <c r="A53" i="12"/>
  <c r="P632" i="22"/>
  <c r="B52" i="11"/>
  <c r="L52" i="13"/>
  <c r="A52" i="12"/>
  <c r="B52" i="12"/>
  <c r="C52" i="12"/>
  <c r="D52" i="12"/>
  <c r="G52" i="12"/>
  <c r="H52" i="12"/>
  <c r="I52" i="12"/>
  <c r="J52" i="12"/>
  <c r="K52" i="13"/>
  <c r="J52" i="13"/>
  <c r="I52" i="13"/>
  <c r="H52" i="13"/>
  <c r="G52" i="13"/>
  <c r="F52" i="13"/>
  <c r="E52" i="13"/>
  <c r="D52" i="13"/>
  <c r="C52" i="13"/>
  <c r="B52" i="13"/>
  <c r="A52" i="13"/>
  <c r="A52" i="10"/>
  <c r="B52" i="10"/>
  <c r="C52" i="10"/>
  <c r="D52" i="10"/>
  <c r="G52" i="10"/>
  <c r="H52" i="10"/>
  <c r="I52" i="10"/>
  <c r="J52" i="10"/>
  <c r="O632" i="22"/>
  <c r="N632" i="22"/>
  <c r="M632" i="22"/>
  <c r="L52" i="11"/>
  <c r="K52" i="11"/>
  <c r="J52" i="11"/>
  <c r="I52" i="11"/>
  <c r="H52" i="11"/>
  <c r="G52" i="11"/>
  <c r="D52" i="11"/>
  <c r="C52" i="11"/>
  <c r="A52" i="11"/>
  <c r="L51" i="13"/>
  <c r="K51" i="13"/>
  <c r="J51" i="11"/>
  <c r="K51" i="11"/>
  <c r="L51" i="11"/>
  <c r="H51" i="11"/>
  <c r="G51" i="11"/>
  <c r="D51" i="11"/>
  <c r="C51" i="11"/>
  <c r="B51" i="11"/>
  <c r="A51" i="11"/>
  <c r="M631" i="22"/>
  <c r="N631" i="22"/>
  <c r="O631" i="22"/>
  <c r="P631" i="22"/>
  <c r="I51" i="12"/>
  <c r="A51" i="10"/>
  <c r="A51" i="12"/>
  <c r="B51" i="12"/>
  <c r="C51" i="12"/>
  <c r="D51" i="12"/>
  <c r="D51" i="13"/>
  <c r="C51" i="13"/>
  <c r="B51" i="13"/>
  <c r="A51" i="13"/>
  <c r="E51" i="13"/>
  <c r="J51" i="10"/>
  <c r="I51" i="10"/>
  <c r="H51" i="10"/>
  <c r="G51" i="10"/>
  <c r="D51" i="10"/>
  <c r="C51" i="10"/>
  <c r="B51" i="10"/>
  <c r="G51" i="12"/>
  <c r="H51" i="12"/>
  <c r="J51" i="12"/>
  <c r="F51" i="13"/>
  <c r="G51" i="13"/>
  <c r="H51" i="13"/>
  <c r="I51" i="13"/>
  <c r="J51" i="13"/>
  <c r="I51" i="11"/>
  <c r="J50" i="10"/>
  <c r="A50" i="11"/>
  <c r="M630" i="22"/>
  <c r="H50" i="13"/>
  <c r="G50" i="13"/>
  <c r="F50" i="13"/>
  <c r="E50" i="13"/>
  <c r="D50" i="13"/>
  <c r="I50" i="13"/>
  <c r="J50" i="13"/>
  <c r="K50" i="13"/>
  <c r="L50" i="13"/>
  <c r="C50" i="13"/>
  <c r="B50" i="13"/>
  <c r="A50" i="13"/>
  <c r="B50" i="11"/>
  <c r="C50" i="11"/>
  <c r="D50" i="11"/>
  <c r="G50" i="11"/>
  <c r="H50" i="11"/>
  <c r="J50" i="12"/>
  <c r="I50" i="12"/>
  <c r="I50" i="10"/>
  <c r="I50" i="11"/>
  <c r="J50" i="11"/>
  <c r="K50" i="11"/>
  <c r="L50" i="11"/>
  <c r="H50" i="10"/>
  <c r="N630" i="22"/>
  <c r="A50" i="12"/>
  <c r="P630" i="22"/>
  <c r="O630" i="22"/>
  <c r="G50" i="10"/>
  <c r="D50" i="10"/>
  <c r="C50" i="10"/>
  <c r="B50" i="10"/>
  <c r="A50" i="10"/>
  <c r="B50" i="12"/>
  <c r="C50" i="12"/>
  <c r="D50" i="12"/>
  <c r="H50" i="12"/>
  <c r="G50" i="12"/>
  <c r="D49" i="11"/>
  <c r="I49" i="10"/>
  <c r="H49" i="10"/>
  <c r="G49" i="10"/>
  <c r="D49" i="10"/>
  <c r="C49" i="10"/>
  <c r="B49" i="10"/>
  <c r="A49" i="10"/>
  <c r="A49" i="13"/>
  <c r="J49" i="12"/>
  <c r="I49" i="12"/>
  <c r="H49" i="12"/>
  <c r="G49" i="12"/>
  <c r="D49" i="12"/>
  <c r="C49" i="12"/>
  <c r="B49" i="12"/>
  <c r="A49" i="12"/>
  <c r="B49" i="13"/>
  <c r="P629" i="22"/>
  <c r="C49" i="13"/>
  <c r="A49" i="11"/>
  <c r="B49" i="11"/>
  <c r="C49" i="11"/>
  <c r="D49" i="13"/>
  <c r="E49" i="13"/>
  <c r="F49" i="13"/>
  <c r="G49" i="13"/>
  <c r="N629" i="22"/>
  <c r="M629" i="22"/>
  <c r="H49" i="13"/>
  <c r="I49" i="13"/>
  <c r="J49" i="13"/>
  <c r="K49" i="13"/>
  <c r="L49" i="13"/>
  <c r="O629" i="22"/>
  <c r="L49" i="11"/>
  <c r="K49" i="11"/>
  <c r="J49" i="11"/>
  <c r="I49" i="11"/>
  <c r="H49" i="11"/>
  <c r="G49" i="11"/>
  <c r="J49" i="10"/>
  <c r="A48" i="12"/>
  <c r="H48" i="12"/>
  <c r="E48" i="13"/>
  <c r="B48" i="12"/>
  <c r="L48" i="11"/>
  <c r="K48" i="11"/>
  <c r="J48" i="11"/>
  <c r="I48" i="11"/>
  <c r="H48" i="11"/>
  <c r="G48" i="11"/>
  <c r="D48" i="11"/>
  <c r="C48" i="11"/>
  <c r="B48" i="11"/>
  <c r="A48" i="11"/>
  <c r="J48" i="12"/>
  <c r="J48" i="10"/>
  <c r="I48" i="10"/>
  <c r="G48" i="13"/>
  <c r="H48" i="13"/>
  <c r="I48" i="13"/>
  <c r="J48" i="13"/>
  <c r="K48" i="13"/>
  <c r="L48" i="13"/>
  <c r="H48" i="10"/>
  <c r="G48" i="10"/>
  <c r="D48" i="10"/>
  <c r="C48" i="10"/>
  <c r="B48" i="10"/>
  <c r="P628" i="22"/>
  <c r="O628" i="22"/>
  <c r="N628" i="22"/>
  <c r="M628" i="22"/>
  <c r="D48" i="13"/>
  <c r="C48" i="13"/>
  <c r="B48" i="13"/>
  <c r="A48" i="13"/>
  <c r="A48" i="10"/>
  <c r="D48" i="12"/>
  <c r="C48" i="12"/>
  <c r="G48" i="12"/>
  <c r="I48" i="12"/>
  <c r="F48" i="13"/>
  <c r="J47" i="11"/>
  <c r="G47" i="12"/>
  <c r="I47" i="13"/>
  <c r="H47" i="13"/>
  <c r="G47" i="13"/>
  <c r="F47" i="13"/>
  <c r="E47" i="13"/>
  <c r="D47" i="13"/>
  <c r="C47" i="13"/>
  <c r="B47" i="13"/>
  <c r="A47" i="13"/>
  <c r="A47" i="10"/>
  <c r="B47" i="10"/>
  <c r="C47" i="10"/>
  <c r="D47" i="10"/>
  <c r="G47" i="10"/>
  <c r="H47" i="10"/>
  <c r="I47" i="10"/>
  <c r="J47" i="10"/>
  <c r="K47" i="13"/>
  <c r="L47" i="13"/>
  <c r="I47" i="11"/>
  <c r="H47" i="11"/>
  <c r="G47" i="11"/>
  <c r="D47" i="11"/>
  <c r="C47" i="11"/>
  <c r="B47" i="11"/>
  <c r="A47" i="11"/>
  <c r="J47" i="13"/>
  <c r="A47" i="12"/>
  <c r="B47" i="12"/>
  <c r="M627" i="22"/>
  <c r="N627" i="22"/>
  <c r="O627" i="22"/>
  <c r="P627" i="22"/>
  <c r="C47" i="12"/>
  <c r="K47" i="11"/>
  <c r="L47" i="11"/>
  <c r="D47" i="12"/>
  <c r="J47" i="12"/>
  <c r="I47" i="12"/>
  <c r="H47" i="12"/>
  <c r="A46" i="10"/>
  <c r="B46" i="10"/>
  <c r="B46" i="11"/>
  <c r="C46" i="11"/>
  <c r="D46" i="11"/>
  <c r="G46" i="11"/>
  <c r="H46" i="11"/>
  <c r="I46" i="11"/>
  <c r="P626" i="22"/>
  <c r="O626" i="22"/>
  <c r="N626" i="22"/>
  <c r="M626" i="22"/>
  <c r="J46" i="11"/>
  <c r="K46" i="11"/>
  <c r="J46" i="12"/>
  <c r="I46" i="12"/>
  <c r="H46" i="12"/>
  <c r="G46" i="12"/>
  <c r="D46" i="12"/>
  <c r="C46" i="12"/>
  <c r="B46" i="12"/>
  <c r="A46" i="12"/>
  <c r="L46" i="11"/>
  <c r="A46" i="13"/>
  <c r="B46" i="13"/>
  <c r="C46" i="13"/>
  <c r="D46" i="13"/>
  <c r="E46" i="13"/>
  <c r="F46" i="13"/>
  <c r="G46" i="13"/>
  <c r="H46" i="13"/>
  <c r="I46" i="13"/>
  <c r="J46" i="13"/>
  <c r="K46" i="13"/>
  <c r="L46" i="13"/>
  <c r="J46" i="10"/>
  <c r="I46" i="10"/>
  <c r="H46" i="10"/>
  <c r="G46" i="10"/>
  <c r="D46" i="10"/>
  <c r="C46" i="10"/>
  <c r="A46" i="11"/>
  <c r="B45" i="12"/>
  <c r="A45" i="12"/>
  <c r="L45" i="13"/>
  <c r="K45" i="13"/>
  <c r="A45" i="10"/>
  <c r="B45" i="10"/>
  <c r="C45" i="10"/>
  <c r="D45" i="10"/>
  <c r="G45" i="10"/>
  <c r="H45" i="10"/>
  <c r="I45" i="10"/>
  <c r="J45" i="10"/>
  <c r="J45" i="13"/>
  <c r="I45" i="13"/>
  <c r="H45" i="13"/>
  <c r="G45" i="13"/>
  <c r="F45" i="13"/>
  <c r="E45" i="13"/>
  <c r="D45" i="13"/>
  <c r="C45" i="13"/>
  <c r="B45" i="13"/>
  <c r="A45" i="13"/>
  <c r="L45" i="11"/>
  <c r="K45" i="11"/>
  <c r="J45" i="11"/>
  <c r="I45" i="11"/>
  <c r="H45" i="11"/>
  <c r="G45" i="11"/>
  <c r="D45" i="11"/>
  <c r="C45" i="11"/>
  <c r="B45" i="11"/>
  <c r="A45" i="11"/>
  <c r="P625" i="22"/>
  <c r="O625" i="22"/>
  <c r="N625" i="22"/>
  <c r="M625" i="22"/>
  <c r="J45" i="12"/>
  <c r="I45" i="12"/>
  <c r="H45" i="12"/>
  <c r="G45" i="12"/>
  <c r="D45" i="12"/>
  <c r="C45" i="12"/>
  <c r="N624" i="22"/>
  <c r="M624" i="22"/>
  <c r="J44" i="12"/>
  <c r="I44" i="12"/>
  <c r="H44" i="12"/>
  <c r="G44" i="12"/>
  <c r="D44" i="12"/>
  <c r="I44" i="10"/>
  <c r="J44" i="10"/>
  <c r="G44" i="10"/>
  <c r="D44" i="10"/>
  <c r="C44" i="10"/>
  <c r="B44" i="10"/>
  <c r="A44" i="10"/>
  <c r="L44" i="13"/>
  <c r="K44" i="13"/>
  <c r="J44" i="13"/>
  <c r="I44" i="13"/>
  <c r="H44" i="13"/>
  <c r="G44" i="13"/>
  <c r="F44" i="13"/>
  <c r="E44" i="13"/>
  <c r="D44" i="13"/>
  <c r="L44" i="11"/>
  <c r="K44" i="11"/>
  <c r="J44" i="11"/>
  <c r="I44" i="11"/>
  <c r="H44" i="11"/>
  <c r="G44" i="11"/>
  <c r="D44" i="11"/>
  <c r="C44" i="11"/>
  <c r="B44" i="11"/>
  <c r="A44" i="11"/>
  <c r="C44" i="13"/>
  <c r="B44" i="13"/>
  <c r="A44" i="13"/>
  <c r="A44" i="12"/>
  <c r="B44" i="12"/>
  <c r="C44" i="12"/>
  <c r="P624" i="22"/>
  <c r="O624" i="22"/>
  <c r="H44" i="10"/>
  <c r="H43" i="13"/>
  <c r="L43" i="11"/>
  <c r="O623" i="22"/>
  <c r="N623" i="22"/>
  <c r="M623" i="22"/>
  <c r="F43" i="13"/>
  <c r="I43" i="12"/>
  <c r="H43" i="12"/>
  <c r="G43" i="12"/>
  <c r="J43" i="10"/>
  <c r="A43" i="13"/>
  <c r="B43" i="13"/>
  <c r="C43" i="13"/>
  <c r="D43" i="13"/>
  <c r="E43" i="13"/>
  <c r="I43" i="13"/>
  <c r="J43" i="13"/>
  <c r="K43" i="13"/>
  <c r="L43" i="13"/>
  <c r="I43" i="10"/>
  <c r="H43" i="10"/>
  <c r="D43" i="12"/>
  <c r="G43" i="13"/>
  <c r="C43" i="12"/>
  <c r="B43" i="12"/>
  <c r="A43" i="12"/>
  <c r="G43" i="10"/>
  <c r="D43" i="10"/>
  <c r="C43" i="10"/>
  <c r="B43" i="10"/>
  <c r="A43" i="10"/>
  <c r="J43" i="12"/>
  <c r="A43" i="11"/>
  <c r="B43" i="11"/>
  <c r="C43" i="11"/>
  <c r="D43" i="11"/>
  <c r="G43" i="11"/>
  <c r="H43" i="11"/>
  <c r="I43" i="11"/>
  <c r="J43" i="11"/>
  <c r="K43" i="11"/>
  <c r="P623" i="22"/>
  <c r="G42" i="13"/>
  <c r="A42" i="11"/>
  <c r="E42" i="13"/>
  <c r="D42" i="13"/>
  <c r="C42" i="13"/>
  <c r="B42" i="13"/>
  <c r="A42" i="13"/>
  <c r="A42" i="12"/>
  <c r="B42" i="12"/>
  <c r="C42" i="12"/>
  <c r="D42" i="12"/>
  <c r="G42" i="10"/>
  <c r="L42" i="11"/>
  <c r="H42" i="10"/>
  <c r="I42" i="10"/>
  <c r="J42" i="10"/>
  <c r="K42" i="11"/>
  <c r="J42" i="11"/>
  <c r="I42" i="11"/>
  <c r="H42" i="11"/>
  <c r="G42" i="11"/>
  <c r="G42" i="12"/>
  <c r="H42" i="12"/>
  <c r="I42" i="12"/>
  <c r="J42" i="12"/>
  <c r="D42" i="11"/>
  <c r="C42" i="11"/>
  <c r="H42" i="13"/>
  <c r="M622" i="22"/>
  <c r="N622" i="22"/>
  <c r="L42" i="13"/>
  <c r="K42" i="13"/>
  <c r="J42" i="13"/>
  <c r="I42" i="13"/>
  <c r="O622" i="22"/>
  <c r="A42" i="10"/>
  <c r="B42" i="10"/>
  <c r="C42" i="10"/>
  <c r="D42" i="10"/>
  <c r="B42" i="11"/>
  <c r="P622" i="22"/>
  <c r="F42" i="13"/>
  <c r="N621" i="22"/>
  <c r="O621" i="22"/>
  <c r="A41" i="12"/>
  <c r="B41" i="12"/>
  <c r="C41" i="12"/>
  <c r="D41" i="12"/>
  <c r="G41" i="12"/>
  <c r="H41" i="12"/>
  <c r="I41" i="12"/>
  <c r="J41" i="12"/>
  <c r="L41" i="13"/>
  <c r="K41" i="13"/>
  <c r="J41" i="13"/>
  <c r="I41" i="13"/>
  <c r="H41" i="13"/>
  <c r="J41" i="10"/>
  <c r="I41" i="10"/>
  <c r="H41" i="10"/>
  <c r="G41" i="10"/>
  <c r="D41" i="10"/>
  <c r="C41" i="10"/>
  <c r="B41" i="10"/>
  <c r="A41" i="10"/>
  <c r="G41" i="13"/>
  <c r="F41" i="13"/>
  <c r="E41" i="13"/>
  <c r="D41" i="13"/>
  <c r="C41" i="13"/>
  <c r="B41" i="13"/>
  <c r="A41" i="13"/>
  <c r="A41" i="11"/>
  <c r="B41" i="11"/>
  <c r="C41" i="11"/>
  <c r="D41" i="11"/>
  <c r="G41" i="11"/>
  <c r="H41" i="11"/>
  <c r="I41" i="11"/>
  <c r="J41" i="11"/>
  <c r="K41" i="11"/>
  <c r="L41" i="11"/>
  <c r="P621" i="22"/>
  <c r="M621" i="22"/>
  <c r="B40" i="12"/>
  <c r="A40" i="12"/>
  <c r="C40" i="12"/>
  <c r="D40" i="12"/>
  <c r="G40" i="12"/>
  <c r="H40" i="12"/>
  <c r="I40" i="12"/>
  <c r="J40" i="12"/>
  <c r="D40" i="11"/>
  <c r="B40" i="11"/>
  <c r="J40" i="10"/>
  <c r="I40" i="10"/>
  <c r="H40" i="10"/>
  <c r="G40" i="10"/>
  <c r="D40" i="10"/>
  <c r="M620" i="22"/>
  <c r="N620" i="22"/>
  <c r="O620" i="22"/>
  <c r="P620" i="22"/>
  <c r="L40" i="13"/>
  <c r="K40" i="13"/>
  <c r="J40" i="13"/>
  <c r="I40" i="13"/>
  <c r="H40" i="13"/>
  <c r="G40" i="13"/>
  <c r="F40" i="13"/>
  <c r="E40" i="13"/>
  <c r="D40" i="13"/>
  <c r="C40" i="13"/>
  <c r="B40" i="13"/>
  <c r="A40" i="13"/>
  <c r="A40" i="11"/>
  <c r="A40" i="10"/>
  <c r="B40" i="10"/>
  <c r="C40" i="10"/>
  <c r="L40" i="11"/>
  <c r="K40" i="11"/>
  <c r="J40" i="11"/>
  <c r="I40" i="11"/>
  <c r="H40" i="11"/>
  <c r="G40" i="11"/>
  <c r="C40" i="11"/>
  <c r="J39" i="12"/>
  <c r="M619" i="22"/>
  <c r="J39" i="10"/>
  <c r="L39" i="11"/>
  <c r="K39" i="11"/>
  <c r="J39" i="11"/>
  <c r="I39" i="11"/>
  <c r="H39" i="11"/>
  <c r="D39" i="13"/>
  <c r="F39" i="13"/>
  <c r="D39" i="12"/>
  <c r="C39" i="12"/>
  <c r="B39" i="12"/>
  <c r="A39" i="12"/>
  <c r="A39" i="11"/>
  <c r="B39" i="11"/>
  <c r="C39" i="11"/>
  <c r="D39" i="11"/>
  <c r="A39" i="13"/>
  <c r="B39" i="13"/>
  <c r="C39" i="13"/>
  <c r="G39" i="12"/>
  <c r="E39" i="13"/>
  <c r="G39" i="13"/>
  <c r="H39" i="13"/>
  <c r="I39" i="13"/>
  <c r="J39" i="13"/>
  <c r="K39" i="13"/>
  <c r="L39" i="13"/>
  <c r="I39" i="10"/>
  <c r="H39" i="10"/>
  <c r="G39" i="10"/>
  <c r="D39" i="10"/>
  <c r="C39" i="10"/>
  <c r="B39" i="10"/>
  <c r="A39" i="10"/>
  <c r="I39" i="12"/>
  <c r="G39" i="11"/>
  <c r="P619" i="22"/>
  <c r="O619" i="22"/>
  <c r="N619" i="22"/>
  <c r="H39" i="12"/>
  <c r="P618" i="22"/>
  <c r="H38" i="10"/>
  <c r="N618" i="22"/>
  <c r="C38" i="12"/>
  <c r="D38" i="12"/>
  <c r="G38" i="12"/>
  <c r="I38" i="10"/>
  <c r="J38" i="10"/>
  <c r="L38" i="13"/>
  <c r="K38" i="13"/>
  <c r="J38" i="13"/>
  <c r="I38" i="13"/>
  <c r="H38" i="13"/>
  <c r="L38" i="11"/>
  <c r="K38" i="11"/>
  <c r="J38" i="11"/>
  <c r="I38" i="11"/>
  <c r="H38" i="11"/>
  <c r="G38" i="11"/>
  <c r="D38" i="11"/>
  <c r="C38" i="11"/>
  <c r="B38" i="11"/>
  <c r="A38" i="11"/>
  <c r="H38" i="12"/>
  <c r="I38" i="12"/>
  <c r="J38" i="12"/>
  <c r="G38" i="13"/>
  <c r="F38" i="13"/>
  <c r="E38" i="13"/>
  <c r="D38" i="13"/>
  <c r="C38" i="13"/>
  <c r="M618" i="22"/>
  <c r="A38" i="12"/>
  <c r="B38" i="12"/>
  <c r="A38" i="10"/>
  <c r="B38" i="10"/>
  <c r="C38" i="10"/>
  <c r="D38" i="10"/>
  <c r="B38" i="13"/>
  <c r="A38" i="13"/>
  <c r="G38" i="10"/>
  <c r="O618" i="22"/>
  <c r="M617" i="22"/>
  <c r="A37" i="11"/>
  <c r="K37" i="11"/>
  <c r="J37" i="11"/>
  <c r="I37" i="11"/>
  <c r="H37" i="11"/>
  <c r="G37" i="11"/>
  <c r="D37" i="11"/>
  <c r="J37" i="13"/>
  <c r="I37" i="13"/>
  <c r="H37" i="13"/>
  <c r="G37" i="13"/>
  <c r="F37" i="13"/>
  <c r="E37" i="13"/>
  <c r="J37" i="10"/>
  <c r="I37" i="10"/>
  <c r="J37" i="12"/>
  <c r="I37" i="12"/>
  <c r="H37" i="12"/>
  <c r="G37" i="12"/>
  <c r="H37" i="10"/>
  <c r="D37" i="12"/>
  <c r="C37" i="12"/>
  <c r="B37" i="12"/>
  <c r="A37" i="12"/>
  <c r="D37" i="13"/>
  <c r="C37" i="13"/>
  <c r="B37" i="13"/>
  <c r="A37" i="13"/>
  <c r="A37" i="10"/>
  <c r="B37" i="10"/>
  <c r="C37" i="10"/>
  <c r="D37" i="10"/>
  <c r="G37" i="10"/>
  <c r="K37" i="13"/>
  <c r="L37" i="11"/>
  <c r="B37" i="11"/>
  <c r="C37" i="11"/>
  <c r="P617" i="22"/>
  <c r="O617" i="22"/>
  <c r="N617" i="22"/>
  <c r="L37" i="13"/>
  <c r="L36" i="11"/>
  <c r="A36" i="13"/>
  <c r="B36" i="13"/>
  <c r="K36" i="11"/>
  <c r="J36" i="11"/>
  <c r="I36" i="11"/>
  <c r="H36" i="11"/>
  <c r="G36" i="11"/>
  <c r="D36" i="11"/>
  <c r="C36" i="11"/>
  <c r="B36" i="11"/>
  <c r="A36" i="11"/>
  <c r="C36" i="13"/>
  <c r="D36" i="13"/>
  <c r="E36" i="13"/>
  <c r="F36" i="13"/>
  <c r="G36" i="13"/>
  <c r="M616" i="22"/>
  <c r="N616" i="22"/>
  <c r="O616" i="22"/>
  <c r="P616" i="22"/>
  <c r="H36" i="13"/>
  <c r="A36" i="10"/>
  <c r="B36" i="10"/>
  <c r="C36" i="10"/>
  <c r="D36" i="10"/>
  <c r="J36" i="12"/>
  <c r="G36" i="10"/>
  <c r="H36" i="10"/>
  <c r="I36" i="10"/>
  <c r="J36" i="10"/>
  <c r="D36" i="12"/>
  <c r="C36" i="12"/>
  <c r="B36" i="12"/>
  <c r="A36" i="12"/>
  <c r="I36" i="12"/>
  <c r="H36" i="12"/>
  <c r="G36" i="12"/>
  <c r="L36" i="13"/>
  <c r="K36" i="13"/>
  <c r="J36" i="13"/>
  <c r="I36" i="13"/>
  <c r="A35" i="13"/>
  <c r="B35" i="13"/>
  <c r="H35" i="12"/>
  <c r="J35" i="12"/>
  <c r="A35" i="11"/>
  <c r="B35" i="11"/>
  <c r="C35" i="11"/>
  <c r="D35" i="11"/>
  <c r="G35" i="11"/>
  <c r="H35" i="11"/>
  <c r="I35" i="11"/>
  <c r="J35" i="11"/>
  <c r="K35" i="11"/>
  <c r="G35" i="12"/>
  <c r="D35" i="12"/>
  <c r="C35" i="12"/>
  <c r="J35" i="10"/>
  <c r="I35" i="10"/>
  <c r="H35" i="10"/>
  <c r="A35" i="12"/>
  <c r="B35" i="12"/>
  <c r="D35" i="10"/>
  <c r="C35" i="10"/>
  <c r="B35" i="10"/>
  <c r="A35" i="10"/>
  <c r="P615" i="22"/>
  <c r="O615" i="22"/>
  <c r="N615" i="22"/>
  <c r="M615" i="22"/>
  <c r="L35" i="11"/>
  <c r="G35" i="10"/>
  <c r="L35" i="13"/>
  <c r="K35" i="13"/>
  <c r="J35" i="13"/>
  <c r="I35" i="13"/>
  <c r="H35" i="13"/>
  <c r="G35" i="13"/>
  <c r="F35" i="13"/>
  <c r="E35" i="13"/>
  <c r="D35" i="13"/>
  <c r="C35" i="13"/>
  <c r="I35" i="12"/>
  <c r="J34" i="12"/>
  <c r="K34" i="13"/>
  <c r="J34" i="13"/>
  <c r="I34" i="13"/>
  <c r="H34" i="13"/>
  <c r="G34" i="13"/>
  <c r="F34" i="13"/>
  <c r="E34" i="13"/>
  <c r="D34" i="13"/>
  <c r="C34" i="13"/>
  <c r="A34" i="10"/>
  <c r="B34" i="11"/>
  <c r="A34" i="11"/>
  <c r="B34" i="10"/>
  <c r="C34" i="10"/>
  <c r="D34" i="10"/>
  <c r="G34" i="10"/>
  <c r="H34" i="10"/>
  <c r="I34" i="10"/>
  <c r="J34" i="10"/>
  <c r="I34" i="12"/>
  <c r="C34" i="11"/>
  <c r="G34" i="11"/>
  <c r="H34" i="11"/>
  <c r="I34" i="11"/>
  <c r="J34" i="11"/>
  <c r="K34" i="11"/>
  <c r="L34" i="11"/>
  <c r="B34" i="13"/>
  <c r="A34" i="13"/>
  <c r="P614" i="22"/>
  <c r="O614" i="22"/>
  <c r="N614" i="22"/>
  <c r="M614" i="22"/>
  <c r="A34" i="12"/>
  <c r="B34" i="12"/>
  <c r="C34" i="12"/>
  <c r="D34" i="12"/>
  <c r="G34" i="12"/>
  <c r="H34" i="12"/>
  <c r="D34" i="11"/>
  <c r="L34" i="13"/>
  <c r="B33" i="10"/>
  <c r="K33" i="13"/>
  <c r="M613" i="22"/>
  <c r="N613" i="22"/>
  <c r="O613" i="22"/>
  <c r="P613" i="22"/>
  <c r="J33" i="12"/>
  <c r="I33" i="12"/>
  <c r="H33" i="12"/>
  <c r="G33" i="12"/>
  <c r="D33" i="12"/>
  <c r="A33" i="11"/>
  <c r="B33" i="11"/>
  <c r="C33" i="11"/>
  <c r="D33" i="11"/>
  <c r="G33" i="11"/>
  <c r="H33" i="11"/>
  <c r="I33" i="11"/>
  <c r="J33" i="11"/>
  <c r="K33" i="11"/>
  <c r="L33" i="11"/>
  <c r="C33" i="12"/>
  <c r="B33" i="12"/>
  <c r="A33" i="12"/>
  <c r="A33" i="13"/>
  <c r="C33" i="13"/>
  <c r="D33" i="13"/>
  <c r="E33" i="13"/>
  <c r="F33" i="13"/>
  <c r="G33" i="13"/>
  <c r="H33" i="13"/>
  <c r="A33" i="10"/>
  <c r="B33" i="13"/>
  <c r="C33" i="10"/>
  <c r="D33" i="10"/>
  <c r="G33" i="10"/>
  <c r="H33" i="10"/>
  <c r="I33" i="10"/>
  <c r="J33" i="10"/>
  <c r="I33" i="13"/>
  <c r="J33" i="13"/>
  <c r="L33" i="13"/>
  <c r="A32" i="11"/>
  <c r="M612" i="22"/>
  <c r="C32" i="12"/>
  <c r="B32" i="12"/>
  <c r="A32" i="12"/>
  <c r="J32" i="10"/>
  <c r="I32" i="10"/>
  <c r="H32" i="10"/>
  <c r="G32" i="10"/>
  <c r="A32" i="13"/>
  <c r="B32" i="13"/>
  <c r="C32" i="13"/>
  <c r="D32" i="13"/>
  <c r="E32" i="13"/>
  <c r="F32" i="13"/>
  <c r="G32" i="13"/>
  <c r="H32" i="13"/>
  <c r="I32" i="13"/>
  <c r="J32" i="13"/>
  <c r="K32" i="13"/>
  <c r="L32" i="13"/>
  <c r="D32" i="10"/>
  <c r="G32" i="12"/>
  <c r="H32" i="12"/>
  <c r="I32" i="12"/>
  <c r="J32" i="12"/>
  <c r="C32" i="10"/>
  <c r="B32" i="10"/>
  <c r="A32" i="10"/>
  <c r="L32" i="11"/>
  <c r="K32" i="11"/>
  <c r="J32" i="11"/>
  <c r="I32" i="11"/>
  <c r="H32" i="11"/>
  <c r="G32" i="11"/>
  <c r="D32" i="11"/>
  <c r="C32" i="11"/>
  <c r="B32" i="11"/>
  <c r="P612" i="22"/>
  <c r="O612" i="22"/>
  <c r="N612" i="22"/>
  <c r="D32" i="12"/>
  <c r="B31" i="11"/>
  <c r="A31" i="13"/>
  <c r="N611" i="22"/>
  <c r="M611" i="22"/>
  <c r="J31" i="12"/>
  <c r="I31" i="12"/>
  <c r="H31" i="12"/>
  <c r="G31" i="12"/>
  <c r="D31" i="12"/>
  <c r="C31" i="12"/>
  <c r="B31" i="12"/>
  <c r="A31" i="12"/>
  <c r="J31" i="10"/>
  <c r="I31" i="10"/>
  <c r="P611" i="22"/>
  <c r="L31" i="13"/>
  <c r="K31" i="13"/>
  <c r="J31" i="13"/>
  <c r="I31" i="13"/>
  <c r="H31" i="13"/>
  <c r="G31" i="13"/>
  <c r="F31" i="13"/>
  <c r="E31" i="13"/>
  <c r="D31" i="13"/>
  <c r="D31" i="11"/>
  <c r="H31" i="10"/>
  <c r="G31" i="10"/>
  <c r="D31" i="10"/>
  <c r="C31" i="10"/>
  <c r="B31" i="10"/>
  <c r="A31" i="10"/>
  <c r="L31" i="11"/>
  <c r="K31" i="11"/>
  <c r="J31" i="11"/>
  <c r="I31" i="11"/>
  <c r="H31" i="11"/>
  <c r="G31" i="11"/>
  <c r="C31" i="11"/>
  <c r="A31" i="11"/>
  <c r="C31" i="13"/>
  <c r="O611" i="22"/>
  <c r="B31" i="13"/>
  <c r="A30" i="11"/>
  <c r="J30" i="13"/>
  <c r="I30" i="13"/>
  <c r="H30" i="13"/>
  <c r="G30" i="13"/>
  <c r="F30" i="13"/>
  <c r="E30" i="13"/>
  <c r="D30" i="13"/>
  <c r="C30" i="13"/>
  <c r="B30" i="13"/>
  <c r="A30" i="13"/>
  <c r="P610" i="22"/>
  <c r="O610" i="22"/>
  <c r="N610" i="22"/>
  <c r="M610" i="22"/>
  <c r="J30" i="12"/>
  <c r="I30" i="12"/>
  <c r="H30" i="12"/>
  <c r="G30" i="12"/>
  <c r="D30" i="12"/>
  <c r="C30" i="12"/>
  <c r="B30" i="12"/>
  <c r="A30" i="12"/>
  <c r="L30" i="13"/>
  <c r="K30" i="13"/>
  <c r="J30" i="10"/>
  <c r="I30" i="10"/>
  <c r="H30" i="10"/>
  <c r="G30" i="10"/>
  <c r="D30" i="10"/>
  <c r="C30" i="10"/>
  <c r="B30" i="10"/>
  <c r="A30" i="10"/>
  <c r="L30" i="11"/>
  <c r="K30" i="11"/>
  <c r="J30" i="11"/>
  <c r="I30" i="11"/>
  <c r="H30" i="11"/>
  <c r="G30" i="11"/>
  <c r="D30" i="11"/>
  <c r="C30" i="11"/>
  <c r="B30" i="11"/>
  <c r="G29" i="12"/>
  <c r="G29" i="11"/>
  <c r="H29" i="11"/>
  <c r="I29" i="11"/>
  <c r="J29" i="11"/>
  <c r="K29" i="11"/>
  <c r="L29" i="11"/>
  <c r="H29" i="12"/>
  <c r="I29" i="12"/>
  <c r="A29" i="11"/>
  <c r="B29" i="11"/>
  <c r="D29" i="11"/>
  <c r="A29" i="13"/>
  <c r="L29" i="13"/>
  <c r="K29" i="13"/>
  <c r="J29" i="13"/>
  <c r="I29" i="13"/>
  <c r="P609" i="22"/>
  <c r="O609" i="22"/>
  <c r="C29" i="10"/>
  <c r="J29" i="12"/>
  <c r="D29" i="10"/>
  <c r="D29" i="12"/>
  <c r="C29" i="12"/>
  <c r="B29" i="12"/>
  <c r="A29" i="12"/>
  <c r="N609" i="22"/>
  <c r="M609" i="22"/>
  <c r="H29" i="13"/>
  <c r="G29" i="13"/>
  <c r="G29" i="10"/>
  <c r="H29" i="10"/>
  <c r="I29" i="10"/>
  <c r="J29" i="10"/>
  <c r="F29" i="13"/>
  <c r="E29" i="13"/>
  <c r="D29" i="13"/>
  <c r="B29" i="10"/>
  <c r="A29" i="10"/>
  <c r="C29" i="13"/>
  <c r="B29" i="13"/>
  <c r="C29" i="11"/>
  <c r="H28" i="10"/>
  <c r="D28" i="12"/>
  <c r="C28" i="12"/>
  <c r="B28" i="12"/>
  <c r="A28" i="12"/>
  <c r="D28" i="10"/>
  <c r="M608" i="22"/>
  <c r="N608" i="22"/>
  <c r="C28" i="10"/>
  <c r="B28" i="10"/>
  <c r="A28" i="10"/>
  <c r="I28" i="10"/>
  <c r="J28" i="10"/>
  <c r="A28" i="11"/>
  <c r="B28" i="11"/>
  <c r="C28" i="11"/>
  <c r="G28" i="12"/>
  <c r="H28" i="12"/>
  <c r="O608" i="22"/>
  <c r="P608" i="22"/>
  <c r="I28" i="12"/>
  <c r="J28" i="12"/>
  <c r="D28" i="11"/>
  <c r="G28" i="11"/>
  <c r="H28" i="11"/>
  <c r="I28" i="11"/>
  <c r="J28" i="11"/>
  <c r="L28" i="13"/>
  <c r="K28" i="13"/>
  <c r="J28" i="13"/>
  <c r="I28" i="13"/>
  <c r="H28" i="13"/>
  <c r="G28" i="13"/>
  <c r="F28" i="13"/>
  <c r="E28" i="13"/>
  <c r="D28" i="13"/>
  <c r="C28" i="13"/>
  <c r="B28" i="13"/>
  <c r="A28" i="13"/>
  <c r="K28" i="11"/>
  <c r="L28" i="11"/>
  <c r="G28" i="10"/>
  <c r="D27" i="11"/>
  <c r="M607" i="22"/>
  <c r="O607" i="22"/>
  <c r="L27" i="11"/>
  <c r="K27" i="11"/>
  <c r="J27" i="11"/>
  <c r="I27" i="11"/>
  <c r="H27" i="11"/>
  <c r="G27" i="11"/>
  <c r="K27" i="13"/>
  <c r="C27" i="11"/>
  <c r="B27" i="11"/>
  <c r="A27" i="11"/>
  <c r="H27" i="13"/>
  <c r="J27" i="10"/>
  <c r="I27" i="10"/>
  <c r="H27" i="10"/>
  <c r="G27" i="10"/>
  <c r="D27" i="10"/>
  <c r="C27" i="10"/>
  <c r="B27" i="10"/>
  <c r="A27" i="10"/>
  <c r="J27" i="12"/>
  <c r="I27" i="12"/>
  <c r="H27" i="12"/>
  <c r="G27" i="12"/>
  <c r="D27" i="12"/>
  <c r="C27" i="12"/>
  <c r="B27" i="12"/>
  <c r="A27" i="12"/>
  <c r="G27" i="13"/>
  <c r="F27" i="13"/>
  <c r="E27" i="13"/>
  <c r="D27" i="13"/>
  <c r="C27" i="13"/>
  <c r="B27" i="13"/>
  <c r="A27" i="13"/>
  <c r="I27" i="13"/>
  <c r="L27" i="13"/>
  <c r="J27" i="13"/>
  <c r="N607" i="22"/>
  <c r="P607" i="22"/>
  <c r="A26" i="12"/>
  <c r="K26" i="13"/>
  <c r="K26" i="11"/>
  <c r="J26" i="11"/>
  <c r="I26" i="11"/>
  <c r="A26" i="13"/>
  <c r="B26" i="13"/>
  <c r="C26" i="13"/>
  <c r="D26" i="13"/>
  <c r="E26" i="13"/>
  <c r="F26" i="13"/>
  <c r="H26" i="11"/>
  <c r="G26" i="11"/>
  <c r="B26" i="12"/>
  <c r="C26" i="12"/>
  <c r="D26" i="12"/>
  <c r="G26" i="12"/>
  <c r="H26" i="12"/>
  <c r="I26" i="12"/>
  <c r="J26" i="12"/>
  <c r="L26" i="13"/>
  <c r="A26" i="10"/>
  <c r="B26" i="10"/>
  <c r="D26" i="11"/>
  <c r="G26" i="13"/>
  <c r="H26" i="13"/>
  <c r="I26" i="13"/>
  <c r="J26" i="13"/>
  <c r="C26" i="11"/>
  <c r="B26" i="11"/>
  <c r="J26" i="10"/>
  <c r="I26" i="10"/>
  <c r="C26" i="10"/>
  <c r="D26" i="10"/>
  <c r="A26" i="11"/>
  <c r="M606" i="22"/>
  <c r="N606" i="22"/>
  <c r="O606" i="22"/>
  <c r="P606" i="22"/>
  <c r="H26" i="10"/>
  <c r="G26" i="10"/>
  <c r="L26" i="11"/>
  <c r="P605" i="22"/>
  <c r="L25" i="11"/>
  <c r="O605" i="22"/>
  <c r="N605" i="22"/>
  <c r="M605" i="22"/>
  <c r="L25" i="13"/>
  <c r="K25" i="13"/>
  <c r="J25" i="10"/>
  <c r="I25" i="10"/>
  <c r="H25" i="10"/>
  <c r="G25" i="10"/>
  <c r="D25" i="10"/>
  <c r="C25" i="10"/>
  <c r="B25" i="10"/>
  <c r="A25" i="10"/>
  <c r="K25" i="11"/>
  <c r="J25" i="13"/>
  <c r="J25" i="11"/>
  <c r="I25" i="11"/>
  <c r="H25" i="11"/>
  <c r="G25" i="11"/>
  <c r="A25" i="11"/>
  <c r="B25" i="11"/>
  <c r="C25" i="11"/>
  <c r="D25" i="11"/>
  <c r="I25" i="13"/>
  <c r="H25" i="13"/>
  <c r="G25" i="13"/>
  <c r="F25" i="13"/>
  <c r="E25" i="13"/>
  <c r="D25" i="13"/>
  <c r="C25" i="13"/>
  <c r="B25" i="13"/>
  <c r="A25" i="13"/>
  <c r="A25" i="12"/>
  <c r="B25" i="12"/>
  <c r="C25" i="12"/>
  <c r="D25" i="12"/>
  <c r="G25" i="12"/>
  <c r="H25" i="12"/>
  <c r="I25" i="12"/>
  <c r="J25" i="12"/>
  <c r="I24" i="13"/>
  <c r="F24" i="13"/>
  <c r="I24" i="12"/>
  <c r="H24" i="12"/>
  <c r="G24" i="12"/>
  <c r="D24" i="12"/>
  <c r="C24" i="12"/>
  <c r="B24" i="12"/>
  <c r="A24" i="12"/>
  <c r="G24" i="13"/>
  <c r="C24" i="11"/>
  <c r="L24" i="11"/>
  <c r="K24" i="11"/>
  <c r="J24" i="11"/>
  <c r="I24" i="11"/>
  <c r="J24" i="10"/>
  <c r="H24" i="11"/>
  <c r="G24" i="11"/>
  <c r="I24" i="10"/>
  <c r="H24" i="10"/>
  <c r="G24" i="10"/>
  <c r="D24" i="10"/>
  <c r="D24" i="11"/>
  <c r="P604" i="22"/>
  <c r="O604" i="22"/>
  <c r="N604" i="22"/>
  <c r="M604" i="22"/>
  <c r="E24" i="13"/>
  <c r="D24" i="13"/>
  <c r="C24" i="13"/>
  <c r="B24" i="13"/>
  <c r="A24" i="13"/>
  <c r="L24" i="13"/>
  <c r="K24" i="13"/>
  <c r="J24" i="13"/>
  <c r="C24" i="10"/>
  <c r="B24" i="10"/>
  <c r="A24" i="10"/>
  <c r="B24" i="11"/>
  <c r="A24" i="11"/>
  <c r="H24" i="13"/>
  <c r="J24" i="12"/>
  <c r="H23" i="13"/>
  <c r="G23" i="12"/>
  <c r="D23" i="10"/>
  <c r="C23" i="10"/>
  <c r="B23" i="10"/>
  <c r="A23" i="10"/>
  <c r="G23" i="10"/>
  <c r="H23" i="10"/>
  <c r="I23" i="10"/>
  <c r="J23" i="10"/>
  <c r="J23" i="12"/>
  <c r="I23" i="12"/>
  <c r="I23" i="13"/>
  <c r="D23" i="12"/>
  <c r="C23" i="12"/>
  <c r="B23" i="12"/>
  <c r="A23" i="12"/>
  <c r="A23" i="13"/>
  <c r="P603" i="22"/>
  <c r="O603" i="22"/>
  <c r="N603" i="22"/>
  <c r="M603" i="22"/>
  <c r="L23" i="13"/>
  <c r="K23" i="13"/>
  <c r="J23" i="13"/>
  <c r="B23" i="13"/>
  <c r="C23" i="13"/>
  <c r="D23" i="13"/>
  <c r="E23" i="13"/>
  <c r="F23" i="13"/>
  <c r="G23" i="13"/>
  <c r="A23" i="11"/>
  <c r="B23" i="11"/>
  <c r="C23" i="11"/>
  <c r="D23" i="11"/>
  <c r="G23" i="11"/>
  <c r="H23" i="11"/>
  <c r="I23" i="11"/>
  <c r="J23" i="11"/>
  <c r="K23" i="11"/>
  <c r="L23" i="11"/>
  <c r="H23" i="12"/>
  <c r="C22" i="10"/>
  <c r="P602" i="22"/>
  <c r="O602" i="22"/>
  <c r="N602" i="22"/>
  <c r="M602" i="22"/>
  <c r="G22" i="10"/>
  <c r="H22" i="10"/>
  <c r="I22" i="10"/>
  <c r="J22" i="10"/>
  <c r="L22" i="11"/>
  <c r="K22" i="11"/>
  <c r="J22" i="11"/>
  <c r="A22" i="11"/>
  <c r="B22" i="11"/>
  <c r="C22" i="11"/>
  <c r="D22" i="11"/>
  <c r="L22" i="13"/>
  <c r="K22" i="13"/>
  <c r="J22" i="13"/>
  <c r="I22" i="13"/>
  <c r="H22" i="13"/>
  <c r="G22" i="13"/>
  <c r="F22" i="13"/>
  <c r="G22" i="11"/>
  <c r="H22" i="11"/>
  <c r="I22" i="11"/>
  <c r="J22" i="12"/>
  <c r="I22" i="12"/>
  <c r="H22" i="12"/>
  <c r="G22" i="12"/>
  <c r="A22" i="10"/>
  <c r="B22" i="10"/>
  <c r="D22" i="12"/>
  <c r="C22" i="12"/>
  <c r="B22" i="12"/>
  <c r="A22" i="12"/>
  <c r="E22" i="13"/>
  <c r="D22" i="13"/>
  <c r="C22" i="13"/>
  <c r="B22" i="13"/>
  <c r="A22" i="13"/>
  <c r="D22" i="10"/>
  <c r="K21" i="13"/>
  <c r="J21" i="13"/>
  <c r="I21" i="13"/>
  <c r="H21" i="13"/>
  <c r="G21" i="13"/>
  <c r="F21" i="13"/>
  <c r="G21" i="12"/>
  <c r="H21" i="12"/>
  <c r="I21" i="12"/>
  <c r="J21" i="12"/>
  <c r="E21" i="13"/>
  <c r="D21" i="13"/>
  <c r="C21" i="13"/>
  <c r="B21" i="13"/>
  <c r="A21" i="13"/>
  <c r="J21" i="10"/>
  <c r="I21" i="10"/>
  <c r="H21" i="10"/>
  <c r="G21" i="10"/>
  <c r="D21" i="10"/>
  <c r="C21" i="10"/>
  <c r="B21" i="10"/>
  <c r="A21" i="10"/>
  <c r="D21" i="12"/>
  <c r="C21" i="12"/>
  <c r="B21" i="12"/>
  <c r="A21" i="12"/>
  <c r="L21" i="11"/>
  <c r="K21" i="11"/>
  <c r="J21" i="11"/>
  <c r="I21" i="11"/>
  <c r="H21" i="11"/>
  <c r="G21" i="11"/>
  <c r="D21" i="11"/>
  <c r="C21" i="11"/>
  <c r="M601" i="22"/>
  <c r="N601" i="22"/>
  <c r="O601" i="22"/>
  <c r="P601" i="22"/>
  <c r="B21" i="11"/>
  <c r="A21" i="11"/>
  <c r="L21" i="13"/>
  <c r="G20" i="11"/>
  <c r="L20" i="11"/>
  <c r="K20" i="13"/>
  <c r="J20" i="13"/>
  <c r="I20" i="13"/>
  <c r="H20" i="13"/>
  <c r="G20" i="13"/>
  <c r="F20" i="13"/>
  <c r="E20" i="13"/>
  <c r="D20" i="13"/>
  <c r="C20" i="13"/>
  <c r="B20" i="13"/>
  <c r="C20" i="11"/>
  <c r="J20" i="10"/>
  <c r="I20" i="10"/>
  <c r="H20" i="10"/>
  <c r="G20" i="10"/>
  <c r="D20" i="10"/>
  <c r="C20" i="10"/>
  <c r="B20" i="10"/>
  <c r="A20" i="10"/>
  <c r="P600" i="22"/>
  <c r="O600" i="22"/>
  <c r="N600" i="22"/>
  <c r="M600" i="22"/>
  <c r="L20" i="13"/>
  <c r="D20" i="11"/>
  <c r="B20" i="11"/>
  <c r="A20" i="12"/>
  <c r="B20" i="12"/>
  <c r="C20" i="12"/>
  <c r="D20" i="12"/>
  <c r="G20" i="12"/>
  <c r="H20" i="12"/>
  <c r="I20" i="12"/>
  <c r="J20" i="12"/>
  <c r="A20" i="13"/>
  <c r="H20" i="11"/>
  <c r="I20" i="11"/>
  <c r="J20" i="11"/>
  <c r="K20" i="11"/>
  <c r="A20" i="11"/>
  <c r="B19" i="13"/>
  <c r="C19" i="13"/>
  <c r="A19" i="13"/>
  <c r="L19" i="11"/>
  <c r="K19" i="11"/>
  <c r="J19" i="11"/>
  <c r="I19" i="11"/>
  <c r="H19" i="11"/>
  <c r="G19" i="11"/>
  <c r="A19" i="10"/>
  <c r="B19" i="10"/>
  <c r="J19" i="12"/>
  <c r="I19" i="12"/>
  <c r="L19" i="13"/>
  <c r="C19" i="10"/>
  <c r="J19" i="13"/>
  <c r="I19" i="13"/>
  <c r="H19" i="13"/>
  <c r="G19" i="13"/>
  <c r="F19" i="13"/>
  <c r="E19" i="13"/>
  <c r="D19" i="13"/>
  <c r="D19" i="10"/>
  <c r="K19" i="13"/>
  <c r="D19" i="11"/>
  <c r="C19" i="11"/>
  <c r="B19" i="11"/>
  <c r="A19" i="11"/>
  <c r="J19" i="10"/>
  <c r="I19" i="10"/>
  <c r="H19" i="10"/>
  <c r="G19" i="10"/>
  <c r="P599" i="22"/>
  <c r="O599" i="22"/>
  <c r="N599" i="22"/>
  <c r="H19" i="12"/>
  <c r="G19" i="12"/>
  <c r="D19" i="12"/>
  <c r="C19" i="12"/>
  <c r="B19" i="12"/>
  <c r="A19" i="12"/>
  <c r="M599" i="22"/>
  <c r="H18" i="12"/>
  <c r="A18" i="10"/>
  <c r="D18" i="12"/>
  <c r="C18" i="12"/>
  <c r="B18" i="12"/>
  <c r="A18" i="12"/>
  <c r="I18" i="12"/>
  <c r="A18" i="11"/>
  <c r="B18" i="11"/>
  <c r="C18" i="11"/>
  <c r="D18" i="11"/>
  <c r="M598" i="22"/>
  <c r="N598" i="22"/>
  <c r="O598" i="22"/>
  <c r="P598" i="22"/>
  <c r="J18" i="12"/>
  <c r="A18" i="13"/>
  <c r="B18" i="13"/>
  <c r="C18" i="13"/>
  <c r="D18" i="13"/>
  <c r="E18" i="13"/>
  <c r="F18" i="13"/>
  <c r="G18" i="13"/>
  <c r="G18" i="11"/>
  <c r="H18" i="11"/>
  <c r="I18" i="11"/>
  <c r="J18" i="11"/>
  <c r="K18" i="11"/>
  <c r="L18" i="11"/>
  <c r="H18" i="13"/>
  <c r="I18" i="13"/>
  <c r="J18" i="13"/>
  <c r="K18" i="13"/>
  <c r="L18" i="13"/>
  <c r="J18" i="10"/>
  <c r="I18" i="10"/>
  <c r="H18" i="10"/>
  <c r="G18" i="10"/>
  <c r="D18" i="10"/>
  <c r="C18" i="10"/>
  <c r="B18" i="10"/>
  <c r="G18" i="12"/>
  <c r="G17" i="11"/>
  <c r="D17" i="13"/>
  <c r="G17" i="12"/>
  <c r="I17" i="12"/>
  <c r="J17" i="10"/>
  <c r="I17" i="10"/>
  <c r="H17" i="10"/>
  <c r="G17" i="10"/>
  <c r="D17" i="10"/>
  <c r="C17" i="10"/>
  <c r="B17" i="10"/>
  <c r="I17" i="11"/>
  <c r="J17" i="11"/>
  <c r="K17" i="11"/>
  <c r="A17" i="10"/>
  <c r="L17" i="11"/>
  <c r="E17" i="13"/>
  <c r="F17" i="13"/>
  <c r="G17" i="13"/>
  <c r="H17" i="13"/>
  <c r="I17" i="13"/>
  <c r="J17" i="13"/>
  <c r="K17" i="13"/>
  <c r="L17" i="13"/>
  <c r="J17" i="12"/>
  <c r="H17" i="12"/>
  <c r="D17" i="11"/>
  <c r="C17" i="11"/>
  <c r="B17" i="11"/>
  <c r="A17" i="11"/>
  <c r="M597" i="22"/>
  <c r="N597" i="22"/>
  <c r="O597" i="22"/>
  <c r="P597" i="22"/>
  <c r="A17" i="13"/>
  <c r="B17" i="13"/>
  <c r="A17" i="12"/>
  <c r="B17" i="12"/>
  <c r="C17" i="12"/>
  <c r="D17" i="12"/>
  <c r="C17" i="13"/>
  <c r="H17" i="11"/>
  <c r="J16" i="11"/>
  <c r="I16" i="11"/>
  <c r="J16" i="12"/>
  <c r="I16" i="12"/>
  <c r="L16" i="13"/>
  <c r="K16" i="13"/>
  <c r="J16" i="13"/>
  <c r="A16" i="10"/>
  <c r="K16" i="11"/>
  <c r="L16" i="11"/>
  <c r="H16" i="12"/>
  <c r="G16" i="12"/>
  <c r="P596" i="22"/>
  <c r="O596" i="22"/>
  <c r="N596" i="22"/>
  <c r="M596" i="22"/>
  <c r="D16" i="12"/>
  <c r="C16" i="12"/>
  <c r="B16" i="12"/>
  <c r="A16" i="12"/>
  <c r="H16" i="11"/>
  <c r="G16" i="11"/>
  <c r="D16" i="11"/>
  <c r="G16" i="13"/>
  <c r="H16" i="13"/>
  <c r="I16" i="13"/>
  <c r="B16" i="10"/>
  <c r="C16" i="10"/>
  <c r="D16" i="10"/>
  <c r="G16" i="10"/>
  <c r="H16" i="10"/>
  <c r="I16" i="10"/>
  <c r="A16" i="13"/>
  <c r="B16" i="13"/>
  <c r="C16" i="13"/>
  <c r="D16" i="13"/>
  <c r="E16" i="13"/>
  <c r="J16" i="10"/>
  <c r="C16" i="11"/>
  <c r="B16" i="11"/>
  <c r="A16" i="11"/>
  <c r="F16" i="13"/>
  <c r="B15" i="11"/>
  <c r="C15" i="11"/>
  <c r="A15" i="12"/>
  <c r="M595" i="22"/>
  <c r="N595" i="22"/>
  <c r="O595" i="22"/>
  <c r="P595" i="22"/>
  <c r="L15" i="13"/>
  <c r="K15" i="13"/>
  <c r="J15" i="13"/>
  <c r="J15" i="10"/>
  <c r="I15" i="10"/>
  <c r="H15" i="10"/>
  <c r="G15" i="10"/>
  <c r="D15" i="10"/>
  <c r="C15" i="10"/>
  <c r="B15" i="10"/>
  <c r="A15" i="10"/>
  <c r="I15" i="13"/>
  <c r="H15" i="13"/>
  <c r="G15" i="13"/>
  <c r="F15" i="13"/>
  <c r="E15" i="13"/>
  <c r="D15" i="13"/>
  <c r="C15" i="13"/>
  <c r="A15" i="11"/>
  <c r="B15" i="13"/>
  <c r="A15" i="13"/>
  <c r="J15" i="12"/>
  <c r="I15" i="12"/>
  <c r="H15" i="12"/>
  <c r="G15" i="12"/>
  <c r="D15" i="12"/>
  <c r="C15" i="12"/>
  <c r="L15" i="11"/>
  <c r="K15" i="11"/>
  <c r="J15" i="11"/>
  <c r="I15" i="11"/>
  <c r="H15" i="11"/>
  <c r="G15" i="11"/>
  <c r="D15" i="11"/>
  <c r="B15" i="12"/>
  <c r="E14" i="13"/>
  <c r="D14" i="10"/>
  <c r="D14" i="12"/>
  <c r="G14" i="10"/>
  <c r="H14" i="10"/>
  <c r="I14" i="10"/>
  <c r="J14" i="10"/>
  <c r="C14" i="12"/>
  <c r="B14" i="12"/>
  <c r="A14" i="12"/>
  <c r="M594" i="22"/>
  <c r="N594" i="22"/>
  <c r="O594" i="22"/>
  <c r="P594" i="22"/>
  <c r="L14" i="13"/>
  <c r="K14" i="13"/>
  <c r="J14" i="13"/>
  <c r="L14" i="11"/>
  <c r="K14" i="11"/>
  <c r="J14" i="11"/>
  <c r="H14" i="11"/>
  <c r="I14" i="13"/>
  <c r="D14" i="11"/>
  <c r="C14" i="11"/>
  <c r="B14" i="11"/>
  <c r="A14" i="11"/>
  <c r="G14" i="12"/>
  <c r="A14" i="10"/>
  <c r="B14" i="10"/>
  <c r="H14" i="12"/>
  <c r="I14" i="12"/>
  <c r="J14" i="12"/>
  <c r="I14" i="11"/>
  <c r="G14" i="11"/>
  <c r="A14" i="13"/>
  <c r="B14" i="13"/>
  <c r="C14" i="13"/>
  <c r="D14" i="13"/>
  <c r="H14" i="13"/>
  <c r="G14" i="13"/>
  <c r="F14" i="13"/>
  <c r="C14" i="10"/>
  <c r="A13" i="11"/>
  <c r="B13" i="11"/>
  <c r="C13" i="11"/>
  <c r="D13" i="11"/>
  <c r="L13" i="13"/>
  <c r="K13" i="13"/>
  <c r="J13" i="13"/>
  <c r="I13" i="13"/>
  <c r="H13" i="13"/>
  <c r="G13" i="13"/>
  <c r="F13" i="13"/>
  <c r="E13" i="13"/>
  <c r="D13" i="13"/>
  <c r="C13" i="13"/>
  <c r="B13" i="13"/>
  <c r="G13" i="11"/>
  <c r="H13" i="11"/>
  <c r="I13" i="11"/>
  <c r="J13" i="11"/>
  <c r="K13" i="11"/>
  <c r="J13" i="10"/>
  <c r="I13" i="10"/>
  <c r="H13" i="10"/>
  <c r="G13" i="10"/>
  <c r="D13" i="10"/>
  <c r="C13" i="10"/>
  <c r="B13" i="10"/>
  <c r="A13" i="10"/>
  <c r="L13" i="11"/>
  <c r="A13" i="13"/>
  <c r="P593" i="22"/>
  <c r="A13" i="12"/>
  <c r="B13" i="12"/>
  <c r="C13" i="12"/>
  <c r="D13" i="12"/>
  <c r="G13" i="12"/>
  <c r="H13" i="12"/>
  <c r="I13" i="12"/>
  <c r="J13" i="12"/>
  <c r="O593" i="22"/>
  <c r="N593" i="22"/>
  <c r="M593" i="22"/>
  <c r="L12" i="13"/>
  <c r="M592" i="22"/>
  <c r="I12" i="12"/>
  <c r="J12" i="10"/>
  <c r="A12" i="13"/>
  <c r="J12" i="13"/>
  <c r="I12" i="13"/>
  <c r="H12" i="13"/>
  <c r="G12" i="13"/>
  <c r="F12" i="13"/>
  <c r="E12" i="13"/>
  <c r="D12" i="13"/>
  <c r="A12" i="10"/>
  <c r="B12" i="10"/>
  <c r="C12" i="10"/>
  <c r="D12" i="10"/>
  <c r="A12" i="11"/>
  <c r="B12" i="11"/>
  <c r="C12" i="11"/>
  <c r="D12" i="11"/>
  <c r="G12" i="11"/>
  <c r="H12" i="11"/>
  <c r="I12" i="11"/>
  <c r="J12" i="11"/>
  <c r="K12" i="11"/>
  <c r="L12" i="11"/>
  <c r="K12" i="13"/>
  <c r="H12" i="12"/>
  <c r="G12" i="12"/>
  <c r="D12" i="12"/>
  <c r="C12" i="12"/>
  <c r="B12" i="12"/>
  <c r="A12" i="12"/>
  <c r="G12" i="10"/>
  <c r="H12" i="10"/>
  <c r="I12" i="10"/>
  <c r="C12" i="13"/>
  <c r="B12" i="13"/>
  <c r="P592" i="22"/>
  <c r="O592" i="22"/>
  <c r="N592" i="22"/>
  <c r="J12" i="12"/>
  <c r="N591" i="22"/>
  <c r="L11" i="13"/>
  <c r="P591" i="22"/>
  <c r="M591" i="22"/>
  <c r="A11" i="12"/>
  <c r="B11" i="12"/>
  <c r="C11" i="12"/>
  <c r="A11" i="13"/>
  <c r="B11" i="13"/>
  <c r="C11" i="13"/>
  <c r="D11" i="13"/>
  <c r="E11" i="13"/>
  <c r="F11" i="13"/>
  <c r="G11" i="13"/>
  <c r="H11" i="13"/>
  <c r="I11" i="13"/>
  <c r="J11" i="13"/>
  <c r="D11" i="12"/>
  <c r="G11" i="12"/>
  <c r="H11" i="12"/>
  <c r="I11" i="12"/>
  <c r="J11" i="12"/>
  <c r="L11" i="11"/>
  <c r="K11" i="11"/>
  <c r="J11" i="11"/>
  <c r="I11" i="11"/>
  <c r="J11" i="10"/>
  <c r="I11" i="10"/>
  <c r="H11" i="10"/>
  <c r="G11" i="10"/>
  <c r="D11" i="10"/>
  <c r="C11" i="10"/>
  <c r="B11" i="10"/>
  <c r="A11" i="10"/>
  <c r="H11" i="11"/>
  <c r="G11" i="11"/>
  <c r="D11" i="11"/>
  <c r="C11" i="11"/>
  <c r="B11" i="11"/>
  <c r="A11" i="11"/>
  <c r="K11" i="13"/>
  <c r="O591" i="22"/>
  <c r="N590" i="22"/>
  <c r="A10" i="12"/>
  <c r="O590" i="22"/>
  <c r="L10" i="13"/>
  <c r="K10" i="13"/>
  <c r="J10" i="13"/>
  <c r="I10" i="13"/>
  <c r="H10" i="13"/>
  <c r="G10" i="13"/>
  <c r="F10" i="13"/>
  <c r="E10" i="13"/>
  <c r="D10" i="13"/>
  <c r="C10" i="13"/>
  <c r="B10" i="13"/>
  <c r="A10" i="13"/>
  <c r="J10" i="10"/>
  <c r="M590" i="22"/>
  <c r="A10" i="11"/>
  <c r="B10" i="11"/>
  <c r="C10" i="11"/>
  <c r="D10" i="11"/>
  <c r="P590" i="22"/>
  <c r="G10" i="11"/>
  <c r="H10" i="11"/>
  <c r="I10" i="11"/>
  <c r="J10" i="11"/>
  <c r="K10" i="11"/>
  <c r="L10" i="11"/>
  <c r="A10" i="10"/>
  <c r="B10" i="10"/>
  <c r="C10" i="10"/>
  <c r="G10" i="10"/>
  <c r="H10" i="10"/>
  <c r="I10" i="10"/>
  <c r="J10" i="12"/>
  <c r="I10" i="12"/>
  <c r="H10" i="12"/>
  <c r="G10" i="12"/>
  <c r="D10" i="12"/>
  <c r="C10" i="12"/>
  <c r="B10" i="12"/>
  <c r="D10" i="10"/>
  <c r="G9" i="13"/>
  <c r="J9" i="10"/>
  <c r="G9" i="12"/>
  <c r="H9" i="12"/>
  <c r="I9" i="12"/>
  <c r="J9" i="12"/>
  <c r="D9" i="12"/>
  <c r="C9" i="12"/>
  <c r="B9" i="12"/>
  <c r="A9" i="12"/>
  <c r="D9" i="13"/>
  <c r="C9" i="13"/>
  <c r="B9" i="13"/>
  <c r="A9" i="13"/>
  <c r="L9" i="13"/>
  <c r="K9" i="13"/>
  <c r="P589" i="22"/>
  <c r="O589" i="22"/>
  <c r="N589" i="22"/>
  <c r="M589" i="22"/>
  <c r="A9" i="11"/>
  <c r="B9" i="11"/>
  <c r="C9" i="11"/>
  <c r="D9" i="11"/>
  <c r="G9" i="11"/>
  <c r="H9" i="11"/>
  <c r="I9" i="11"/>
  <c r="J9" i="11"/>
  <c r="K9" i="11"/>
  <c r="L9" i="11"/>
  <c r="J9" i="13"/>
  <c r="I9" i="13"/>
  <c r="H9" i="13"/>
  <c r="F9" i="13"/>
  <c r="E9" i="13"/>
  <c r="A9" i="10"/>
  <c r="B9" i="10"/>
  <c r="C9" i="10"/>
  <c r="D9" i="10"/>
  <c r="G9" i="10"/>
  <c r="AN11" i="26" s="1"/>
  <c r="H9" i="10"/>
  <c r="I9" i="10"/>
  <c r="D8" i="11"/>
  <c r="J8" i="12"/>
  <c r="I8" i="12"/>
  <c r="H8" i="12"/>
  <c r="G8" i="12"/>
  <c r="P588" i="22"/>
  <c r="O588" i="22"/>
  <c r="N588" i="22"/>
  <c r="M588" i="22"/>
  <c r="A8" i="10"/>
  <c r="B8" i="10"/>
  <c r="C8" i="10"/>
  <c r="D8" i="10"/>
  <c r="J8" i="10"/>
  <c r="G8" i="10"/>
  <c r="H8" i="10"/>
  <c r="I8" i="10"/>
  <c r="A8" i="11"/>
  <c r="B8" i="11"/>
  <c r="C8" i="11"/>
  <c r="A8" i="12"/>
  <c r="B8" i="12"/>
  <c r="C8" i="12"/>
  <c r="D8" i="12"/>
  <c r="A8" i="13"/>
  <c r="B8" i="13"/>
  <c r="C8" i="13"/>
  <c r="D8" i="13"/>
  <c r="E8" i="13"/>
  <c r="F8" i="13"/>
  <c r="G8" i="13"/>
  <c r="H8" i="13"/>
  <c r="I8" i="13"/>
  <c r="J8" i="13"/>
  <c r="K8" i="13"/>
  <c r="L8" i="13"/>
  <c r="L8" i="11"/>
  <c r="K8" i="11"/>
  <c r="J8" i="11"/>
  <c r="I8" i="11"/>
  <c r="H8" i="11"/>
  <c r="G8" i="11"/>
  <c r="J7" i="12"/>
  <c r="B7" i="11"/>
  <c r="K7" i="13"/>
  <c r="A7" i="12"/>
  <c r="L7" i="11"/>
  <c r="K7" i="11"/>
  <c r="B7" i="12"/>
  <c r="C7" i="12"/>
  <c r="J7" i="11"/>
  <c r="I7" i="11"/>
  <c r="H7" i="11"/>
  <c r="D7" i="12"/>
  <c r="J7" i="13"/>
  <c r="I7" i="13"/>
  <c r="H7" i="13"/>
  <c r="G7" i="13"/>
  <c r="J7" i="10"/>
  <c r="I7" i="10"/>
  <c r="H7" i="10"/>
  <c r="G7" i="10"/>
  <c r="D7" i="10"/>
  <c r="C7" i="10"/>
  <c r="B7" i="10"/>
  <c r="A7" i="10"/>
  <c r="M587" i="22"/>
  <c r="N587" i="22"/>
  <c r="O587" i="22"/>
  <c r="P587" i="22"/>
  <c r="F7" i="13"/>
  <c r="E7" i="13"/>
  <c r="D7" i="13"/>
  <c r="C7" i="13"/>
  <c r="B7" i="13"/>
  <c r="A7" i="13"/>
  <c r="G7" i="12"/>
  <c r="H7" i="12"/>
  <c r="I7" i="12"/>
  <c r="A7" i="11"/>
  <c r="G7" i="11"/>
  <c r="D7" i="11"/>
  <c r="C7" i="11"/>
  <c r="L7" i="13"/>
  <c r="H6" i="11"/>
  <c r="I6" i="11"/>
  <c r="J6" i="11"/>
  <c r="K6" i="11"/>
  <c r="L6" i="11"/>
  <c r="G6" i="11"/>
  <c r="D6" i="11"/>
  <c r="C6" i="11"/>
  <c r="B6" i="11"/>
  <c r="A6" i="11"/>
  <c r="A6" i="10"/>
  <c r="B6" i="10"/>
  <c r="C6" i="10"/>
  <c r="D6" i="10"/>
  <c r="C14" i="28" s="1"/>
  <c r="B671" i="22"/>
  <c r="B670" i="22"/>
  <c r="C87" i="12" s="1"/>
  <c r="B669" i="22"/>
  <c r="C87" i="11" s="1"/>
  <c r="B668" i="22"/>
  <c r="C87" i="10" s="1"/>
  <c r="P586" i="22"/>
  <c r="O586" i="22"/>
  <c r="N586" i="22"/>
  <c r="M586" i="22"/>
  <c r="G6" i="10"/>
  <c r="H6" i="10"/>
  <c r="I6" i="10"/>
  <c r="B53" i="27" s="1"/>
  <c r="J6" i="10"/>
  <c r="L6" i="13"/>
  <c r="K6" i="13"/>
  <c r="J6" i="13"/>
  <c r="I6" i="13"/>
  <c r="H6" i="13"/>
  <c r="G6" i="13"/>
  <c r="F6" i="13"/>
  <c r="E6" i="13"/>
  <c r="D6" i="13"/>
  <c r="C6" i="13"/>
  <c r="B6" i="13"/>
  <c r="A6" i="13"/>
  <c r="J6" i="12"/>
  <c r="I6" i="12"/>
  <c r="H6" i="12"/>
  <c r="G6" i="12"/>
  <c r="D6" i="12"/>
  <c r="C6" i="12"/>
  <c r="B6" i="12"/>
  <c r="A6" i="12"/>
  <c r="BP100" i="22"/>
  <c r="BV122" i="22"/>
  <c r="AG140" i="22"/>
  <c r="AF140" i="22"/>
  <c r="AE140" i="22"/>
  <c r="AD140" i="22"/>
  <c r="AC140" i="22"/>
  <c r="AB140" i="22"/>
  <c r="AA140" i="22"/>
  <c r="Z140" i="22"/>
  <c r="Y140" i="22"/>
  <c r="X140" i="22"/>
  <c r="W140" i="22"/>
  <c r="V140" i="22"/>
  <c r="U140" i="22"/>
  <c r="T140" i="22"/>
  <c r="S140" i="22"/>
  <c r="R140" i="22"/>
  <c r="Q140" i="22"/>
  <c r="P140" i="22"/>
  <c r="O140" i="22"/>
  <c r="N140" i="22"/>
  <c r="M140" i="22"/>
  <c r="L140" i="22"/>
  <c r="K140" i="22"/>
  <c r="J140" i="22"/>
  <c r="I140" i="22"/>
  <c r="H140" i="22"/>
  <c r="G140" i="22"/>
  <c r="F140" i="22"/>
  <c r="E140" i="22"/>
  <c r="D140" i="22"/>
  <c r="C140" i="22"/>
  <c r="B140" i="22"/>
  <c r="A140" i="22"/>
  <c r="CB139" i="22"/>
  <c r="CA139" i="22"/>
  <c r="BZ139" i="22"/>
  <c r="BY139" i="22"/>
  <c r="BX139" i="22"/>
  <c r="BW139" i="22"/>
  <c r="BV139" i="22"/>
  <c r="BU139" i="22"/>
  <c r="BT139" i="22"/>
  <c r="BS139" i="22"/>
  <c r="BR139" i="22"/>
  <c r="BQ139" i="22"/>
  <c r="BP139" i="22"/>
  <c r="BO139" i="22"/>
  <c r="BN139" i="22"/>
  <c r="BM139" i="22"/>
  <c r="BL139" i="22"/>
  <c r="BK139" i="22"/>
  <c r="BJ139" i="22"/>
  <c r="BI139" i="22"/>
  <c r="BH139" i="22"/>
  <c r="BG139" i="22"/>
  <c r="BF139" i="22"/>
  <c r="BE139" i="22"/>
  <c r="BD139" i="22"/>
  <c r="BC139" i="22"/>
  <c r="BB139" i="22"/>
  <c r="BA139" i="22"/>
  <c r="AZ139" i="22"/>
  <c r="AY139" i="22"/>
  <c r="AX139" i="22"/>
  <c r="AW139" i="22"/>
  <c r="AV139" i="22"/>
  <c r="AU139" i="22"/>
  <c r="AT139" i="22"/>
  <c r="AS139" i="22"/>
  <c r="AR139" i="22"/>
  <c r="AQ139" i="22"/>
  <c r="AP139" i="22"/>
  <c r="AO139" i="22"/>
  <c r="AN139" i="22"/>
  <c r="AM139" i="22"/>
  <c r="AL139" i="22"/>
  <c r="AK139" i="22"/>
  <c r="AJ139" i="22"/>
  <c r="AI139" i="22"/>
  <c r="AH139" i="22"/>
  <c r="AG139" i="22"/>
  <c r="AF139" i="22"/>
  <c r="AE139" i="22"/>
  <c r="AD139" i="22"/>
  <c r="AC139" i="22"/>
  <c r="AB139" i="22"/>
  <c r="AA139" i="22"/>
  <c r="Z139" i="22"/>
  <c r="Y139" i="22"/>
  <c r="X139" i="22"/>
  <c r="W139" i="22"/>
  <c r="V139" i="22"/>
  <c r="U139" i="22"/>
  <c r="T139" i="22"/>
  <c r="S139" i="22"/>
  <c r="R139" i="22"/>
  <c r="Q139" i="22"/>
  <c r="P139" i="22"/>
  <c r="O139" i="22"/>
  <c r="N139" i="22"/>
  <c r="M139" i="22"/>
  <c r="L139" i="22"/>
  <c r="K139" i="22"/>
  <c r="J139" i="22"/>
  <c r="I139" i="22"/>
  <c r="H139" i="22"/>
  <c r="G139" i="22"/>
  <c r="F139" i="22"/>
  <c r="E139" i="22"/>
  <c r="D139" i="22"/>
  <c r="C139" i="22"/>
  <c r="B139" i="22"/>
  <c r="A139" i="22"/>
  <c r="CB138" i="22"/>
  <c r="CA138" i="22"/>
  <c r="BZ138" i="22"/>
  <c r="BY138" i="22"/>
  <c r="BX138" i="22"/>
  <c r="BW138" i="22"/>
  <c r="BV138" i="22"/>
  <c r="BU138" i="22"/>
  <c r="BT138" i="22"/>
  <c r="BS138" i="22"/>
  <c r="BR138" i="22"/>
  <c r="BQ138" i="22"/>
  <c r="BP138" i="22"/>
  <c r="BO138" i="22"/>
  <c r="BN138" i="22"/>
  <c r="BM138" i="22"/>
  <c r="BL138" i="22"/>
  <c r="BK138" i="22"/>
  <c r="BJ138" i="22"/>
  <c r="BI138" i="22"/>
  <c r="BH138" i="22"/>
  <c r="BG138" i="22"/>
  <c r="BF138" i="22"/>
  <c r="BE138" i="22"/>
  <c r="BD138" i="22"/>
  <c r="BC138" i="22"/>
  <c r="BB138" i="22"/>
  <c r="BA138" i="22"/>
  <c r="AZ138" i="22"/>
  <c r="AY138" i="22"/>
  <c r="AX138" i="22"/>
  <c r="AW138" i="22"/>
  <c r="AV138" i="22"/>
  <c r="AU138" i="22"/>
  <c r="AT138" i="22"/>
  <c r="AS138" i="22"/>
  <c r="AR138" i="22"/>
  <c r="AQ138" i="22"/>
  <c r="AP138" i="22"/>
  <c r="AO138" i="22"/>
  <c r="AN138" i="22"/>
  <c r="AM138" i="22"/>
  <c r="AL138" i="22"/>
  <c r="AK138" i="22"/>
  <c r="AJ138" i="22"/>
  <c r="AI138" i="22"/>
  <c r="AH138" i="22"/>
  <c r="AG138" i="22"/>
  <c r="AF138" i="22"/>
  <c r="AE138" i="22"/>
  <c r="AD138" i="22"/>
  <c r="AC138" i="22"/>
  <c r="AB138" i="22"/>
  <c r="AA138" i="22"/>
  <c r="Z138" i="22"/>
  <c r="Y138" i="22"/>
  <c r="X138" i="22"/>
  <c r="W138" i="22"/>
  <c r="V138" i="22"/>
  <c r="U138" i="22"/>
  <c r="T138" i="22"/>
  <c r="S138" i="22"/>
  <c r="R138" i="22"/>
  <c r="Q138" i="22"/>
  <c r="P138" i="22"/>
  <c r="O138" i="22"/>
  <c r="N138" i="22"/>
  <c r="M138" i="22"/>
  <c r="L138" i="22"/>
  <c r="K138" i="22"/>
  <c r="J138" i="22"/>
  <c r="I138" i="22"/>
  <c r="H138" i="22"/>
  <c r="G138" i="22"/>
  <c r="F138" i="22"/>
  <c r="E138" i="22"/>
  <c r="D138" i="22"/>
  <c r="C138" i="22"/>
  <c r="B138" i="22"/>
  <c r="A138" i="22"/>
  <c r="CB137" i="22"/>
  <c r="CA137" i="22"/>
  <c r="BZ137" i="22"/>
  <c r="BY137" i="22"/>
  <c r="BX137" i="22"/>
  <c r="BW137" i="22"/>
  <c r="BV137" i="22"/>
  <c r="BU137" i="22"/>
  <c r="BT137" i="22"/>
  <c r="BS137" i="22"/>
  <c r="BR137" i="22"/>
  <c r="BQ137" i="22"/>
  <c r="BP137" i="22"/>
  <c r="BO137" i="22"/>
  <c r="BN137" i="22"/>
  <c r="BM137" i="22"/>
  <c r="BL137" i="22"/>
  <c r="BK137" i="22"/>
  <c r="BJ137" i="22"/>
  <c r="BI137" i="22"/>
  <c r="BH137" i="22"/>
  <c r="BG137" i="22"/>
  <c r="BF137" i="22"/>
  <c r="BE137" i="22"/>
  <c r="BD137" i="22"/>
  <c r="BC137" i="22"/>
  <c r="BB137" i="22"/>
  <c r="BA137" i="22"/>
  <c r="AZ137" i="22"/>
  <c r="AY137" i="22"/>
  <c r="AX137" i="22"/>
  <c r="AW137" i="22"/>
  <c r="AV137" i="22"/>
  <c r="AU137" i="22"/>
  <c r="AT137" i="22"/>
  <c r="AS137" i="22"/>
  <c r="AR137" i="22"/>
  <c r="AQ137" i="22"/>
  <c r="AP137" i="22"/>
  <c r="AO137" i="22"/>
  <c r="AN137" i="22"/>
  <c r="AM137" i="22"/>
  <c r="AL137" i="22"/>
  <c r="AK137" i="22"/>
  <c r="AJ137" i="22"/>
  <c r="AI137" i="22"/>
  <c r="AH137" i="22"/>
  <c r="AG137" i="22"/>
  <c r="AF137" i="22"/>
  <c r="AE137" i="22"/>
  <c r="AD137" i="22"/>
  <c r="AC137" i="22"/>
  <c r="AB137" i="22"/>
  <c r="AA137" i="22"/>
  <c r="Z137" i="22"/>
  <c r="Y137" i="22"/>
  <c r="X137" i="22"/>
  <c r="W137" i="22"/>
  <c r="V137" i="22"/>
  <c r="U137" i="22"/>
  <c r="T137" i="22"/>
  <c r="S137" i="22"/>
  <c r="R137" i="22"/>
  <c r="Q137" i="22"/>
  <c r="P137" i="22"/>
  <c r="O137" i="22"/>
  <c r="N137" i="22"/>
  <c r="M137" i="22"/>
  <c r="L137" i="22"/>
  <c r="K137" i="22"/>
  <c r="J137" i="22"/>
  <c r="I137" i="22"/>
  <c r="H137" i="22"/>
  <c r="G137" i="22"/>
  <c r="F137" i="22"/>
  <c r="E137" i="22"/>
  <c r="D137" i="22"/>
  <c r="C137" i="22"/>
  <c r="B137" i="22"/>
  <c r="A137" i="22"/>
  <c r="G630" i="22" s="1"/>
  <c r="CB136" i="22"/>
  <c r="CA136" i="22"/>
  <c r="BZ136" i="22"/>
  <c r="BY136" i="22"/>
  <c r="BX136" i="22"/>
  <c r="BW136" i="22"/>
  <c r="BV136" i="22"/>
  <c r="BU136" i="22"/>
  <c r="BT136" i="22"/>
  <c r="BS136" i="22"/>
  <c r="BR136" i="22"/>
  <c r="BQ136" i="22"/>
  <c r="BP136" i="22"/>
  <c r="BO136" i="22"/>
  <c r="BN136" i="22"/>
  <c r="BM136" i="22"/>
  <c r="BL136" i="22"/>
  <c r="BK136" i="22"/>
  <c r="BJ136" i="22"/>
  <c r="BI136" i="22"/>
  <c r="BH136" i="22"/>
  <c r="BG136" i="22"/>
  <c r="BF136" i="22"/>
  <c r="BE136" i="22"/>
  <c r="BD136" i="22"/>
  <c r="BC136" i="22"/>
  <c r="BB136" i="22"/>
  <c r="BA136" i="22"/>
  <c r="AZ136" i="22"/>
  <c r="AY136" i="22"/>
  <c r="AX136" i="22"/>
  <c r="AW136" i="22"/>
  <c r="AV136" i="22"/>
  <c r="AU136" i="22"/>
  <c r="AT136" i="22"/>
  <c r="AS136" i="22"/>
  <c r="AR136" i="22"/>
  <c r="AQ136" i="22"/>
  <c r="AP136" i="22"/>
  <c r="AO136" i="22"/>
  <c r="AN136" i="22"/>
  <c r="AM136" i="22"/>
  <c r="AL136" i="22"/>
  <c r="AK136" i="22"/>
  <c r="AJ136" i="22"/>
  <c r="AI136" i="22"/>
  <c r="AH136" i="22"/>
  <c r="AG136" i="22"/>
  <c r="AF136" i="22"/>
  <c r="AE136" i="22"/>
  <c r="AD136" i="22"/>
  <c r="AC136" i="22"/>
  <c r="AB136" i="22"/>
  <c r="AA136" i="22"/>
  <c r="Z136" i="22"/>
  <c r="Y136" i="22"/>
  <c r="X136" i="22"/>
  <c r="W136" i="22"/>
  <c r="V136" i="22"/>
  <c r="U136" i="22"/>
  <c r="T136" i="22"/>
  <c r="S136" i="22"/>
  <c r="R136" i="22"/>
  <c r="Q136" i="22"/>
  <c r="P136" i="22"/>
  <c r="O136" i="22"/>
  <c r="N136" i="22"/>
  <c r="M136" i="22"/>
  <c r="L136" i="22"/>
  <c r="K136" i="22"/>
  <c r="J136" i="22"/>
  <c r="I136" i="22"/>
  <c r="H136" i="22"/>
  <c r="G136" i="22"/>
  <c r="F136" i="22"/>
  <c r="E136" i="22"/>
  <c r="D136" i="22"/>
  <c r="C136" i="22"/>
  <c r="B136" i="22"/>
  <c r="A136" i="22"/>
  <c r="CB135" i="22"/>
  <c r="CA135" i="22"/>
  <c r="BZ135" i="22"/>
  <c r="BY135" i="22"/>
  <c r="BX135" i="22"/>
  <c r="BW135" i="22"/>
  <c r="BV135" i="22"/>
  <c r="BU135" i="22"/>
  <c r="BT135" i="22"/>
  <c r="BS135" i="22"/>
  <c r="BR135" i="22"/>
  <c r="BQ135" i="22"/>
  <c r="BP135" i="22"/>
  <c r="BO135" i="22"/>
  <c r="BN135" i="22"/>
  <c r="BM135" i="22"/>
  <c r="BL135" i="22"/>
  <c r="BK135" i="22"/>
  <c r="BJ135" i="22"/>
  <c r="BI135" i="22"/>
  <c r="BH135" i="22"/>
  <c r="BG135" i="22"/>
  <c r="BF135" i="22"/>
  <c r="BE135" i="22"/>
  <c r="BD135" i="22"/>
  <c r="BC135" i="22"/>
  <c r="BB135" i="22"/>
  <c r="BA135" i="22"/>
  <c r="AZ135" i="22"/>
  <c r="AY135" i="22"/>
  <c r="AX135" i="22"/>
  <c r="AW135" i="22"/>
  <c r="AV135" i="22"/>
  <c r="AU135" i="22"/>
  <c r="AT135" i="22"/>
  <c r="AS135" i="22"/>
  <c r="AR135" i="22"/>
  <c r="AQ135" i="22"/>
  <c r="AP135" i="22"/>
  <c r="AO135" i="22"/>
  <c r="AN135" i="22"/>
  <c r="AM135" i="22"/>
  <c r="AL135" i="22"/>
  <c r="AK135" i="22"/>
  <c r="AJ135" i="22"/>
  <c r="AI135" i="22"/>
  <c r="AH135" i="22"/>
  <c r="AG135" i="22"/>
  <c r="AF135" i="22"/>
  <c r="AE135" i="22"/>
  <c r="AD135" i="22"/>
  <c r="AC135" i="22"/>
  <c r="AB135" i="22"/>
  <c r="AA135" i="22"/>
  <c r="Z135" i="22"/>
  <c r="Y135" i="22"/>
  <c r="X135" i="22"/>
  <c r="W135" i="22"/>
  <c r="V135" i="22"/>
  <c r="U135" i="22"/>
  <c r="T135" i="22"/>
  <c r="S135" i="22"/>
  <c r="R135" i="22"/>
  <c r="Q135" i="22"/>
  <c r="P135" i="22"/>
  <c r="O135" i="22"/>
  <c r="N135" i="22"/>
  <c r="M135" i="22"/>
  <c r="L135" i="22"/>
  <c r="K135" i="22"/>
  <c r="J135" i="22"/>
  <c r="I135" i="22"/>
  <c r="H135" i="22"/>
  <c r="G135" i="22"/>
  <c r="F135" i="22"/>
  <c r="E135" i="22"/>
  <c r="D135" i="22"/>
  <c r="C135" i="22"/>
  <c r="B135" i="22"/>
  <c r="A135" i="22"/>
  <c r="G628" i="22" s="1"/>
  <c r="CB134" i="22"/>
  <c r="CA134" i="22"/>
  <c r="BZ134" i="22"/>
  <c r="BY134" i="22"/>
  <c r="BX134" i="22"/>
  <c r="BW134" i="22"/>
  <c r="BV134" i="22"/>
  <c r="BU134" i="22"/>
  <c r="BT134" i="22"/>
  <c r="BS134" i="22"/>
  <c r="BR134" i="22"/>
  <c r="BQ134" i="22"/>
  <c r="BP134" i="22"/>
  <c r="BO134" i="22"/>
  <c r="BN134" i="22"/>
  <c r="BM134" i="22"/>
  <c r="BL134" i="22"/>
  <c r="BK134" i="22"/>
  <c r="BJ134" i="22"/>
  <c r="BI134" i="22"/>
  <c r="BH134" i="22"/>
  <c r="BG134" i="22"/>
  <c r="BF134" i="22"/>
  <c r="BE134" i="22"/>
  <c r="BD134" i="22"/>
  <c r="BC134" i="22"/>
  <c r="BB134" i="22"/>
  <c r="BA134" i="22"/>
  <c r="AZ134" i="22"/>
  <c r="AY134" i="22"/>
  <c r="AX134" i="22"/>
  <c r="AW134" i="22"/>
  <c r="AV134" i="22"/>
  <c r="AU134" i="22"/>
  <c r="AT134" i="22"/>
  <c r="AS134" i="22"/>
  <c r="AR134" i="22"/>
  <c r="AQ134" i="22"/>
  <c r="AP134" i="22"/>
  <c r="AO134" i="22"/>
  <c r="AN134" i="22"/>
  <c r="AM134" i="22"/>
  <c r="AL134" i="22"/>
  <c r="AK134" i="22"/>
  <c r="AJ134" i="22"/>
  <c r="AI134" i="22"/>
  <c r="AH134" i="22"/>
  <c r="AG134" i="22"/>
  <c r="AF134" i="22"/>
  <c r="AE134" i="22"/>
  <c r="AD134" i="22"/>
  <c r="AC134" i="22"/>
  <c r="AB134" i="22"/>
  <c r="AA134" i="22"/>
  <c r="Z134" i="22"/>
  <c r="Y134" i="22"/>
  <c r="X134" i="22"/>
  <c r="W134" i="22"/>
  <c r="V134" i="22"/>
  <c r="U134" i="22"/>
  <c r="T134" i="22"/>
  <c r="S134" i="22"/>
  <c r="R134" i="22"/>
  <c r="Q134" i="22"/>
  <c r="P134" i="22"/>
  <c r="O134" i="22"/>
  <c r="N134" i="22"/>
  <c r="M134" i="22"/>
  <c r="L134" i="22"/>
  <c r="K134" i="22"/>
  <c r="J134" i="22"/>
  <c r="I134" i="22"/>
  <c r="H134" i="22"/>
  <c r="G134" i="22"/>
  <c r="F134" i="22"/>
  <c r="E134" i="22"/>
  <c r="D134" i="22"/>
  <c r="C134" i="22"/>
  <c r="B134" i="22"/>
  <c r="A134" i="22"/>
  <c r="G627" i="22" s="1"/>
  <c r="CB133" i="22"/>
  <c r="CA133" i="22"/>
  <c r="BZ133" i="22"/>
  <c r="BY133" i="22"/>
  <c r="BX133" i="22"/>
  <c r="BW133" i="22"/>
  <c r="BV133" i="22"/>
  <c r="BU133" i="22"/>
  <c r="BT133" i="22"/>
  <c r="BS133" i="22"/>
  <c r="BR133" i="22"/>
  <c r="BQ133" i="22"/>
  <c r="BP133" i="22"/>
  <c r="BO133" i="22"/>
  <c r="BN133" i="22"/>
  <c r="BM133" i="22"/>
  <c r="BL133" i="22"/>
  <c r="BK133" i="22"/>
  <c r="BJ133" i="22"/>
  <c r="BI133" i="22"/>
  <c r="BH133" i="22"/>
  <c r="BG133" i="22"/>
  <c r="BF133" i="22"/>
  <c r="BE133" i="22"/>
  <c r="BD133" i="22"/>
  <c r="BC133" i="22"/>
  <c r="BB133" i="22"/>
  <c r="BA133" i="22"/>
  <c r="AZ133" i="22"/>
  <c r="AY133" i="22"/>
  <c r="AX133" i="22"/>
  <c r="AW133" i="22"/>
  <c r="AV133" i="22"/>
  <c r="AU133" i="22"/>
  <c r="AT133" i="22"/>
  <c r="AS133" i="22"/>
  <c r="AR133" i="22"/>
  <c r="AQ133" i="22"/>
  <c r="AP133" i="22"/>
  <c r="AO133" i="22"/>
  <c r="AN133" i="22"/>
  <c r="AM133" i="22"/>
  <c r="AL133" i="22"/>
  <c r="AK133" i="22"/>
  <c r="AJ133" i="22"/>
  <c r="AI133" i="22"/>
  <c r="AH133" i="22"/>
  <c r="AG133" i="22"/>
  <c r="AF133" i="22"/>
  <c r="AE133" i="22"/>
  <c r="AD133" i="22"/>
  <c r="AC133" i="22"/>
  <c r="AB133" i="22"/>
  <c r="AA133" i="22"/>
  <c r="Z133" i="22"/>
  <c r="Y133" i="22"/>
  <c r="X133" i="22"/>
  <c r="W133" i="22"/>
  <c r="V133" i="22"/>
  <c r="U133" i="22"/>
  <c r="T133" i="22"/>
  <c r="S133" i="22"/>
  <c r="R133" i="22"/>
  <c r="Q133" i="22"/>
  <c r="P133" i="22"/>
  <c r="O133" i="22"/>
  <c r="N133" i="22"/>
  <c r="M133" i="22"/>
  <c r="L133" i="22"/>
  <c r="K133" i="22"/>
  <c r="J133" i="22"/>
  <c r="I133" i="22"/>
  <c r="H133" i="22"/>
  <c r="G133" i="22"/>
  <c r="F133" i="22"/>
  <c r="E133" i="22"/>
  <c r="D133" i="22"/>
  <c r="C133" i="22"/>
  <c r="B133" i="22"/>
  <c r="A133" i="22"/>
  <c r="CB132" i="22"/>
  <c r="CA132" i="22"/>
  <c r="BZ132" i="22"/>
  <c r="BY132" i="22"/>
  <c r="BX132" i="22"/>
  <c r="BW132" i="22"/>
  <c r="BV132" i="22"/>
  <c r="BU132" i="22"/>
  <c r="BT132" i="22"/>
  <c r="BS132" i="22"/>
  <c r="BR132" i="22"/>
  <c r="BQ132" i="22"/>
  <c r="BP132" i="22"/>
  <c r="BO132" i="22"/>
  <c r="BN132" i="22"/>
  <c r="BM132" i="22"/>
  <c r="BL132" i="22"/>
  <c r="BK132" i="22"/>
  <c r="BJ132" i="22"/>
  <c r="BI132" i="22"/>
  <c r="BH132" i="22"/>
  <c r="BG132" i="22"/>
  <c r="BF132" i="22"/>
  <c r="BE132" i="22"/>
  <c r="BD132" i="22"/>
  <c r="BC132" i="22"/>
  <c r="BB132" i="22"/>
  <c r="BA132" i="22"/>
  <c r="AZ132" i="22"/>
  <c r="AY132" i="22"/>
  <c r="AX132" i="22"/>
  <c r="AW132" i="22"/>
  <c r="AV132" i="22"/>
  <c r="AU132" i="22"/>
  <c r="AT132" i="22"/>
  <c r="AS132" i="22"/>
  <c r="AR132" i="22"/>
  <c r="AQ132" i="22"/>
  <c r="AP132" i="22"/>
  <c r="AO132" i="22"/>
  <c r="AN132" i="22"/>
  <c r="AM132" i="22"/>
  <c r="AL132" i="22"/>
  <c r="AK132" i="22"/>
  <c r="AJ132" i="22"/>
  <c r="AI132" i="22"/>
  <c r="AH132" i="22"/>
  <c r="AG132" i="22"/>
  <c r="AF132" i="22"/>
  <c r="AE132" i="22"/>
  <c r="AD132" i="22"/>
  <c r="AC132" i="22"/>
  <c r="AB132" i="22"/>
  <c r="AA132" i="22"/>
  <c r="Z132" i="22"/>
  <c r="Y132" i="22"/>
  <c r="X132" i="22"/>
  <c r="W132" i="22"/>
  <c r="V132" i="22"/>
  <c r="U132" i="22"/>
  <c r="T132" i="22"/>
  <c r="S132" i="22"/>
  <c r="R132" i="22"/>
  <c r="Q132" i="22"/>
  <c r="P132" i="22"/>
  <c r="O132" i="22"/>
  <c r="N132" i="22"/>
  <c r="M132" i="22"/>
  <c r="L132" i="22"/>
  <c r="K132" i="22"/>
  <c r="J132" i="22"/>
  <c r="I132" i="22"/>
  <c r="H132" i="22"/>
  <c r="G132" i="22"/>
  <c r="F132" i="22"/>
  <c r="E132" i="22"/>
  <c r="D132" i="22"/>
  <c r="C132" i="22"/>
  <c r="B132" i="22"/>
  <c r="A132" i="22"/>
  <c r="G625" i="22" s="1"/>
  <c r="CB131" i="22"/>
  <c r="CA131" i="22"/>
  <c r="BZ131" i="22"/>
  <c r="BY131" i="22"/>
  <c r="BX131" i="22"/>
  <c r="BW131" i="22"/>
  <c r="BV131" i="22"/>
  <c r="BU131" i="22"/>
  <c r="BT131" i="22"/>
  <c r="BS131" i="22"/>
  <c r="BR131" i="22"/>
  <c r="BQ131" i="22"/>
  <c r="BP131" i="22"/>
  <c r="BO131" i="22"/>
  <c r="BN131" i="22"/>
  <c r="BM131" i="22"/>
  <c r="BL131" i="22"/>
  <c r="BK131" i="22"/>
  <c r="BJ131" i="22"/>
  <c r="BI131" i="22"/>
  <c r="BH131" i="22"/>
  <c r="BG131" i="22"/>
  <c r="BF131" i="22"/>
  <c r="BE131" i="22"/>
  <c r="BD131" i="22"/>
  <c r="BC131" i="22"/>
  <c r="BB131" i="22"/>
  <c r="BA131" i="22"/>
  <c r="AZ131" i="22"/>
  <c r="AY131" i="22"/>
  <c r="AX131" i="22"/>
  <c r="AW131" i="22"/>
  <c r="AV131" i="22"/>
  <c r="AU131" i="22"/>
  <c r="AT131" i="22"/>
  <c r="AS131" i="22"/>
  <c r="AR131" i="22"/>
  <c r="AQ131" i="22"/>
  <c r="AP131" i="22"/>
  <c r="AO131" i="22"/>
  <c r="AN131" i="22"/>
  <c r="AM131" i="22"/>
  <c r="AL131" i="22"/>
  <c r="AK131" i="22"/>
  <c r="AJ131" i="22"/>
  <c r="AI131" i="22"/>
  <c r="AH131" i="22"/>
  <c r="AG131" i="22"/>
  <c r="AF131" i="22"/>
  <c r="AE131" i="22"/>
  <c r="AD131" i="22"/>
  <c r="AC131" i="22"/>
  <c r="AB131" i="22"/>
  <c r="AA131" i="22"/>
  <c r="Z131" i="22"/>
  <c r="Y131" i="22"/>
  <c r="X131" i="22"/>
  <c r="W131" i="22"/>
  <c r="V131" i="22"/>
  <c r="U131" i="22"/>
  <c r="T131" i="22"/>
  <c r="S131" i="22"/>
  <c r="R131" i="22"/>
  <c r="Q131" i="22"/>
  <c r="P131" i="22"/>
  <c r="O131" i="22"/>
  <c r="N131" i="22"/>
  <c r="M131" i="22"/>
  <c r="L131" i="22"/>
  <c r="K131" i="22"/>
  <c r="J131" i="22"/>
  <c r="I131" i="22"/>
  <c r="H131" i="22"/>
  <c r="G131" i="22"/>
  <c r="F131" i="22"/>
  <c r="E131" i="22"/>
  <c r="D131" i="22"/>
  <c r="C131" i="22"/>
  <c r="B131" i="22"/>
  <c r="A131" i="22"/>
  <c r="G624" i="22" s="1"/>
  <c r="CB130" i="22"/>
  <c r="CA130" i="22"/>
  <c r="BZ130" i="22"/>
  <c r="BY130" i="22"/>
  <c r="BX130" i="22"/>
  <c r="BW130" i="22"/>
  <c r="BV130" i="22"/>
  <c r="BU130" i="22"/>
  <c r="BT130" i="22"/>
  <c r="BS130" i="22"/>
  <c r="BR130" i="22"/>
  <c r="BQ130" i="22"/>
  <c r="BP130" i="22"/>
  <c r="BO130" i="22"/>
  <c r="BN130" i="22"/>
  <c r="BM130" i="22"/>
  <c r="BL130" i="22"/>
  <c r="BK130" i="22"/>
  <c r="BJ130" i="22"/>
  <c r="BI130" i="22"/>
  <c r="BH130" i="22"/>
  <c r="BG130" i="22"/>
  <c r="BF130" i="22"/>
  <c r="BE130" i="22"/>
  <c r="BD130" i="22"/>
  <c r="BC130" i="22"/>
  <c r="BB130" i="22"/>
  <c r="BA130" i="22"/>
  <c r="AZ130" i="22"/>
  <c r="AY130" i="22"/>
  <c r="AX130" i="22"/>
  <c r="AW130" i="22"/>
  <c r="AV130" i="22"/>
  <c r="AU130" i="22"/>
  <c r="AT130" i="22"/>
  <c r="AS130" i="22"/>
  <c r="AR130" i="22"/>
  <c r="AQ130" i="22"/>
  <c r="AP130" i="22"/>
  <c r="AO130" i="22"/>
  <c r="AN130" i="22"/>
  <c r="AM130" i="22"/>
  <c r="AL130" i="22"/>
  <c r="AK130" i="22"/>
  <c r="AJ130" i="22"/>
  <c r="AI130" i="22"/>
  <c r="AH130" i="22"/>
  <c r="AG130" i="22"/>
  <c r="AF130" i="22"/>
  <c r="AE130" i="22"/>
  <c r="AD130" i="22"/>
  <c r="AC130" i="22"/>
  <c r="AB130" i="22"/>
  <c r="AA130" i="22"/>
  <c r="Z130" i="22"/>
  <c r="Y130" i="22"/>
  <c r="X130" i="22"/>
  <c r="W130" i="22"/>
  <c r="V130" i="22"/>
  <c r="U130" i="22"/>
  <c r="T130" i="22"/>
  <c r="S130" i="22"/>
  <c r="R130" i="22"/>
  <c r="Q130" i="22"/>
  <c r="P130" i="22"/>
  <c r="O130" i="22"/>
  <c r="N130" i="22"/>
  <c r="M130" i="22"/>
  <c r="L130" i="22"/>
  <c r="K130" i="22"/>
  <c r="J130" i="22"/>
  <c r="I130" i="22"/>
  <c r="H130" i="22"/>
  <c r="G130" i="22"/>
  <c r="F130" i="22"/>
  <c r="E130" i="22"/>
  <c r="D130" i="22"/>
  <c r="C130" i="22"/>
  <c r="B130" i="22"/>
  <c r="A130" i="22"/>
  <c r="G623" i="22" s="1"/>
  <c r="CB129" i="22"/>
  <c r="CA129" i="22"/>
  <c r="BZ129" i="22"/>
  <c r="BY129" i="22"/>
  <c r="BX129" i="22"/>
  <c r="BW129" i="22"/>
  <c r="BV129" i="22"/>
  <c r="BU129" i="22"/>
  <c r="BT129" i="22"/>
  <c r="BS129" i="22"/>
  <c r="BR129" i="22"/>
  <c r="BQ129" i="22"/>
  <c r="BP129" i="22"/>
  <c r="BO129" i="22"/>
  <c r="BN129" i="22"/>
  <c r="BM129" i="22"/>
  <c r="BL129" i="22"/>
  <c r="BK129" i="22"/>
  <c r="BJ129" i="22"/>
  <c r="BI129" i="22"/>
  <c r="BH129" i="22"/>
  <c r="BG129" i="22"/>
  <c r="BF129" i="22"/>
  <c r="BE129" i="22"/>
  <c r="BD129" i="22"/>
  <c r="BC129" i="22"/>
  <c r="BB129" i="22"/>
  <c r="BA129" i="22"/>
  <c r="AZ129" i="22"/>
  <c r="AY129" i="22"/>
  <c r="AX129" i="22"/>
  <c r="AW129" i="22"/>
  <c r="AV129" i="22"/>
  <c r="AU129" i="22"/>
  <c r="AT129" i="22"/>
  <c r="AS129" i="22"/>
  <c r="AR129" i="22"/>
  <c r="AQ129" i="22"/>
  <c r="AP129" i="22"/>
  <c r="AO129" i="22"/>
  <c r="AN129" i="22"/>
  <c r="AM129" i="22"/>
  <c r="AL129" i="22"/>
  <c r="AK129" i="22"/>
  <c r="AJ129" i="22"/>
  <c r="AI129" i="22"/>
  <c r="AH129" i="22"/>
  <c r="AG129" i="22"/>
  <c r="AF129" i="22"/>
  <c r="AE129" i="22"/>
  <c r="AD129" i="22"/>
  <c r="AC129" i="22"/>
  <c r="AB129" i="22"/>
  <c r="AA129" i="22"/>
  <c r="Z129" i="22"/>
  <c r="Y129" i="22"/>
  <c r="X129" i="22"/>
  <c r="W129" i="22"/>
  <c r="V129" i="22"/>
  <c r="U129" i="22"/>
  <c r="T129" i="22"/>
  <c r="S129" i="22"/>
  <c r="R129" i="22"/>
  <c r="Q129" i="22"/>
  <c r="P129" i="22"/>
  <c r="O129" i="22"/>
  <c r="N129" i="22"/>
  <c r="M129" i="22"/>
  <c r="L129" i="22"/>
  <c r="K129" i="22"/>
  <c r="J129" i="22"/>
  <c r="I129" i="22"/>
  <c r="H129" i="22"/>
  <c r="G129" i="22"/>
  <c r="F129" i="22"/>
  <c r="E129" i="22"/>
  <c r="D129" i="22"/>
  <c r="C129" i="22"/>
  <c r="B129" i="22"/>
  <c r="A129" i="22"/>
  <c r="CB128" i="22"/>
  <c r="CA128" i="22"/>
  <c r="BZ128" i="22"/>
  <c r="BY128" i="22"/>
  <c r="BX128" i="22"/>
  <c r="BW128" i="22"/>
  <c r="BV128" i="22"/>
  <c r="BU128" i="22"/>
  <c r="BT128" i="22"/>
  <c r="BS128" i="22"/>
  <c r="BR128" i="22"/>
  <c r="BQ128" i="22"/>
  <c r="BP128" i="22"/>
  <c r="BO128" i="22"/>
  <c r="BN128" i="22"/>
  <c r="BM128" i="22"/>
  <c r="BL128" i="22"/>
  <c r="BK128" i="22"/>
  <c r="BJ128" i="22"/>
  <c r="BI128" i="22"/>
  <c r="BH128" i="22"/>
  <c r="BG128" i="22"/>
  <c r="BF128" i="22"/>
  <c r="BE128" i="22"/>
  <c r="BD128" i="22"/>
  <c r="BC128" i="22"/>
  <c r="BB128" i="22"/>
  <c r="BA128" i="22"/>
  <c r="AZ128" i="22"/>
  <c r="AY128" i="22"/>
  <c r="AX128" i="22"/>
  <c r="AW128" i="22"/>
  <c r="AV128" i="22"/>
  <c r="AU128" i="22"/>
  <c r="AT128" i="22"/>
  <c r="AS128" i="22"/>
  <c r="AR128" i="22"/>
  <c r="AQ128" i="22"/>
  <c r="AP128" i="22"/>
  <c r="AO128" i="22"/>
  <c r="AN128" i="22"/>
  <c r="AM128" i="22"/>
  <c r="AL128" i="22"/>
  <c r="AK128" i="22"/>
  <c r="AJ128" i="22"/>
  <c r="AI128" i="22"/>
  <c r="AH128" i="22"/>
  <c r="AG128" i="22"/>
  <c r="AF128" i="22"/>
  <c r="AE128" i="22"/>
  <c r="AD128" i="22"/>
  <c r="AC128" i="22"/>
  <c r="AB128" i="22"/>
  <c r="AA128" i="22"/>
  <c r="Z128" i="22"/>
  <c r="Y128" i="22"/>
  <c r="X128" i="22"/>
  <c r="W128" i="22"/>
  <c r="V128" i="22"/>
  <c r="U128" i="22"/>
  <c r="T128" i="22"/>
  <c r="S128" i="22"/>
  <c r="R128" i="22"/>
  <c r="Q128" i="22"/>
  <c r="P128" i="22"/>
  <c r="O128" i="22"/>
  <c r="N128" i="22"/>
  <c r="M128" i="22"/>
  <c r="L128" i="22"/>
  <c r="K128" i="22"/>
  <c r="J128" i="22"/>
  <c r="I128" i="22"/>
  <c r="H128" i="22"/>
  <c r="G128" i="22"/>
  <c r="F128" i="22"/>
  <c r="E128" i="22"/>
  <c r="D128" i="22"/>
  <c r="C128" i="22"/>
  <c r="B128" i="22"/>
  <c r="A128" i="22"/>
  <c r="G621" i="22" s="1"/>
  <c r="CB127" i="22"/>
  <c r="CA127" i="22"/>
  <c r="BZ127" i="22"/>
  <c r="BY127" i="22"/>
  <c r="BX127" i="22"/>
  <c r="BW127" i="22"/>
  <c r="BV127" i="22"/>
  <c r="BU127" i="22"/>
  <c r="BT127" i="22"/>
  <c r="BS127" i="22"/>
  <c r="BR127" i="22"/>
  <c r="BQ127" i="22"/>
  <c r="BP127" i="22"/>
  <c r="BO127" i="22"/>
  <c r="BN127" i="22"/>
  <c r="BM127" i="22"/>
  <c r="BL127" i="22"/>
  <c r="BK127" i="22"/>
  <c r="BJ127" i="22"/>
  <c r="BI127" i="22"/>
  <c r="BH127" i="22"/>
  <c r="BG127" i="22"/>
  <c r="BF127" i="22"/>
  <c r="BE127" i="22"/>
  <c r="BD127" i="22"/>
  <c r="BC127" i="22"/>
  <c r="BB127" i="22"/>
  <c r="BA127" i="22"/>
  <c r="AZ127" i="22"/>
  <c r="AY127" i="22"/>
  <c r="AX127" i="22"/>
  <c r="AW127" i="22"/>
  <c r="AV127" i="22"/>
  <c r="AU127" i="22"/>
  <c r="AT127" i="22"/>
  <c r="AS127" i="22"/>
  <c r="AR127" i="22"/>
  <c r="AQ127" i="22"/>
  <c r="AP127" i="22"/>
  <c r="AO127" i="22"/>
  <c r="AN127" i="22"/>
  <c r="AM127" i="22"/>
  <c r="AL127" i="22"/>
  <c r="AK127" i="22"/>
  <c r="AJ127" i="22"/>
  <c r="AI127" i="22"/>
  <c r="AH127" i="22"/>
  <c r="AG127" i="22"/>
  <c r="AF127" i="22"/>
  <c r="AE127" i="22"/>
  <c r="AD127" i="22"/>
  <c r="AC127" i="22"/>
  <c r="AB127" i="22"/>
  <c r="AA127" i="22"/>
  <c r="Z127" i="22"/>
  <c r="Y127" i="22"/>
  <c r="X127" i="22"/>
  <c r="W127" i="22"/>
  <c r="V127" i="22"/>
  <c r="U127" i="22"/>
  <c r="T127" i="22"/>
  <c r="S127" i="22"/>
  <c r="R127" i="22"/>
  <c r="Q127" i="22"/>
  <c r="P127" i="22"/>
  <c r="O127" i="22"/>
  <c r="N127" i="22"/>
  <c r="M127" i="22"/>
  <c r="L127" i="22"/>
  <c r="K127" i="22"/>
  <c r="J127" i="22"/>
  <c r="I127" i="22"/>
  <c r="H127" i="22"/>
  <c r="G127" i="22"/>
  <c r="F127" i="22"/>
  <c r="E127" i="22"/>
  <c r="D127" i="22"/>
  <c r="C127" i="22"/>
  <c r="B127" i="22"/>
  <c r="A127" i="22"/>
  <c r="CB126" i="22"/>
  <c r="CA126" i="22"/>
  <c r="BZ126" i="22"/>
  <c r="BY126" i="22"/>
  <c r="BX126" i="22"/>
  <c r="BW126" i="22"/>
  <c r="BV126" i="22"/>
  <c r="BU126" i="22"/>
  <c r="BT126" i="22"/>
  <c r="BS126" i="22"/>
  <c r="BR126" i="22"/>
  <c r="BQ126" i="22"/>
  <c r="BP126" i="22"/>
  <c r="BO126" i="22"/>
  <c r="BN126" i="22"/>
  <c r="BM126" i="22"/>
  <c r="BL126" i="22"/>
  <c r="BK126" i="22"/>
  <c r="BJ126" i="22"/>
  <c r="BI126" i="22"/>
  <c r="BH126" i="22"/>
  <c r="BG126" i="22"/>
  <c r="BF126" i="22"/>
  <c r="BE126" i="22"/>
  <c r="BD126" i="22"/>
  <c r="BC126" i="22"/>
  <c r="BB126" i="22"/>
  <c r="BA126" i="22"/>
  <c r="AZ126" i="22"/>
  <c r="AY126" i="22"/>
  <c r="AX126" i="22"/>
  <c r="AW126" i="22"/>
  <c r="AV126" i="22"/>
  <c r="AU126" i="22"/>
  <c r="AT126" i="22"/>
  <c r="AS126" i="22"/>
  <c r="AR126" i="22"/>
  <c r="AQ126" i="22"/>
  <c r="AP126" i="22"/>
  <c r="AO126" i="22"/>
  <c r="AN126" i="22"/>
  <c r="AM126" i="22"/>
  <c r="AL126" i="22"/>
  <c r="AK126" i="22"/>
  <c r="AJ126" i="22"/>
  <c r="AI126" i="22"/>
  <c r="AH126" i="22"/>
  <c r="AG126" i="22"/>
  <c r="AF126" i="22"/>
  <c r="AE126" i="22"/>
  <c r="AD126" i="22"/>
  <c r="AC126" i="22"/>
  <c r="AB126" i="22"/>
  <c r="AA126" i="22"/>
  <c r="Z126" i="22"/>
  <c r="Y126" i="22"/>
  <c r="X126" i="22"/>
  <c r="W126" i="22"/>
  <c r="V126" i="22"/>
  <c r="U126" i="22"/>
  <c r="T126" i="22"/>
  <c r="S126" i="22"/>
  <c r="R126" i="22"/>
  <c r="Q126" i="22"/>
  <c r="P126" i="22"/>
  <c r="O126" i="22"/>
  <c r="N126" i="22"/>
  <c r="M126" i="22"/>
  <c r="L126" i="22"/>
  <c r="K126" i="22"/>
  <c r="J126" i="22"/>
  <c r="I126" i="22"/>
  <c r="H126" i="22"/>
  <c r="G126" i="22"/>
  <c r="F126" i="22"/>
  <c r="E126" i="22"/>
  <c r="D126" i="22"/>
  <c r="C126" i="22"/>
  <c r="B126" i="22"/>
  <c r="A126" i="22"/>
  <c r="G619" i="22" s="1"/>
  <c r="CB125" i="22"/>
  <c r="CA125" i="22"/>
  <c r="BZ125" i="22"/>
  <c r="BY125" i="22"/>
  <c r="BX125" i="22"/>
  <c r="BW125" i="22"/>
  <c r="BV125" i="22"/>
  <c r="BU125" i="22"/>
  <c r="BT125" i="22"/>
  <c r="BS125" i="22"/>
  <c r="BR125" i="22"/>
  <c r="BQ125" i="22"/>
  <c r="BP125" i="22"/>
  <c r="BO125" i="22"/>
  <c r="BN125" i="22"/>
  <c r="BM125" i="22"/>
  <c r="BL125" i="22"/>
  <c r="BK125" i="22"/>
  <c r="BJ125" i="22"/>
  <c r="BI125" i="22"/>
  <c r="BH125" i="22"/>
  <c r="BG125" i="22"/>
  <c r="BF125" i="22"/>
  <c r="BE125" i="22"/>
  <c r="BD125" i="22"/>
  <c r="BC125" i="22"/>
  <c r="BB125" i="22"/>
  <c r="BA125" i="22"/>
  <c r="AZ125" i="22"/>
  <c r="AY125" i="22"/>
  <c r="AX125" i="22"/>
  <c r="AW125" i="22"/>
  <c r="AV125" i="22"/>
  <c r="AU125" i="22"/>
  <c r="AT125" i="22"/>
  <c r="AS125" i="22"/>
  <c r="AR125" i="22"/>
  <c r="AQ125" i="22"/>
  <c r="AP125" i="22"/>
  <c r="AO125" i="22"/>
  <c r="AN125" i="22"/>
  <c r="AM125" i="22"/>
  <c r="AL125" i="22"/>
  <c r="AK125" i="22"/>
  <c r="AJ125" i="22"/>
  <c r="AI125" i="22"/>
  <c r="AH125" i="22"/>
  <c r="AG125" i="22"/>
  <c r="AF125" i="22"/>
  <c r="AE125" i="22"/>
  <c r="AD125" i="22"/>
  <c r="AC125" i="22"/>
  <c r="AB125" i="22"/>
  <c r="AA125" i="22"/>
  <c r="Z125" i="22"/>
  <c r="Y125" i="22"/>
  <c r="X125" i="22"/>
  <c r="W125" i="22"/>
  <c r="V125" i="22"/>
  <c r="U125" i="22"/>
  <c r="T125" i="22"/>
  <c r="S125" i="22"/>
  <c r="R125" i="22"/>
  <c r="Q125" i="22"/>
  <c r="P125" i="22"/>
  <c r="O125" i="22"/>
  <c r="N125" i="22"/>
  <c r="M125" i="22"/>
  <c r="L125" i="22"/>
  <c r="K125" i="22"/>
  <c r="J125" i="22"/>
  <c r="I125" i="22"/>
  <c r="H125" i="22"/>
  <c r="G125" i="22"/>
  <c r="F125" i="22"/>
  <c r="E125" i="22"/>
  <c r="D125" i="22"/>
  <c r="C125" i="22"/>
  <c r="B125" i="22"/>
  <c r="A125" i="22"/>
  <c r="G618" i="22" s="1"/>
  <c r="CB124" i="22"/>
  <c r="CA124" i="22"/>
  <c r="BZ124" i="22"/>
  <c r="BY124" i="22"/>
  <c r="BX124" i="22"/>
  <c r="BW124" i="22"/>
  <c r="BV124" i="22"/>
  <c r="BU124" i="22"/>
  <c r="BT124" i="22"/>
  <c r="BS124" i="22"/>
  <c r="BR124" i="22"/>
  <c r="BQ124" i="22"/>
  <c r="BP124" i="22"/>
  <c r="BO124" i="22"/>
  <c r="BN124" i="22"/>
  <c r="BM124" i="22"/>
  <c r="BL124" i="22"/>
  <c r="BK124" i="22"/>
  <c r="BJ124" i="22"/>
  <c r="BI124" i="22"/>
  <c r="BH124" i="22"/>
  <c r="BG124" i="22"/>
  <c r="BF124" i="22"/>
  <c r="BE124" i="22"/>
  <c r="BD124" i="22"/>
  <c r="BC124" i="22"/>
  <c r="BB124" i="22"/>
  <c r="BA124" i="22"/>
  <c r="AZ124" i="22"/>
  <c r="AY124" i="22"/>
  <c r="AX124" i="22"/>
  <c r="AW124" i="22"/>
  <c r="AV124" i="22"/>
  <c r="AU124" i="22"/>
  <c r="AT124" i="22"/>
  <c r="AS124" i="22"/>
  <c r="AR124" i="22"/>
  <c r="AQ124" i="22"/>
  <c r="AP124" i="22"/>
  <c r="AO124" i="22"/>
  <c r="AN124" i="22"/>
  <c r="AM124" i="22"/>
  <c r="AL124" i="22"/>
  <c r="AK124" i="22"/>
  <c r="AJ124" i="22"/>
  <c r="AI124" i="22"/>
  <c r="AH124" i="22"/>
  <c r="AG124" i="22"/>
  <c r="AF124" i="22"/>
  <c r="AE124" i="22"/>
  <c r="AD124" i="22"/>
  <c r="AC124" i="22"/>
  <c r="AB124" i="22"/>
  <c r="AA124" i="22"/>
  <c r="Z124" i="22"/>
  <c r="Y124" i="22"/>
  <c r="X124" i="22"/>
  <c r="W124" i="22"/>
  <c r="V124" i="22"/>
  <c r="U124" i="22"/>
  <c r="T124" i="22"/>
  <c r="S124" i="22"/>
  <c r="R124" i="22"/>
  <c r="Q124" i="22"/>
  <c r="P124" i="22"/>
  <c r="O124" i="22"/>
  <c r="N124" i="22"/>
  <c r="M124" i="22"/>
  <c r="L124" i="22"/>
  <c r="K124" i="22"/>
  <c r="J124" i="22"/>
  <c r="I124" i="22"/>
  <c r="H124" i="22"/>
  <c r="G124" i="22"/>
  <c r="F124" i="22"/>
  <c r="E124" i="22"/>
  <c r="D124" i="22"/>
  <c r="C124" i="22"/>
  <c r="B124" i="22"/>
  <c r="A124" i="22"/>
  <c r="G617" i="22" s="1"/>
  <c r="CB123" i="22"/>
  <c r="CA123" i="22"/>
  <c r="BZ123" i="22"/>
  <c r="BY123" i="22"/>
  <c r="BX123" i="22"/>
  <c r="BW123" i="22"/>
  <c r="BV123" i="22"/>
  <c r="BU123" i="22"/>
  <c r="BT123" i="22"/>
  <c r="BS123" i="22"/>
  <c r="BR123" i="22"/>
  <c r="BQ123" i="22"/>
  <c r="BP123" i="22"/>
  <c r="BO123" i="22"/>
  <c r="BN123" i="22"/>
  <c r="BM123" i="22"/>
  <c r="BL123" i="22"/>
  <c r="BK123" i="22"/>
  <c r="BJ123" i="22"/>
  <c r="BI123" i="22"/>
  <c r="BH123" i="22"/>
  <c r="BG123" i="22"/>
  <c r="BF123" i="22"/>
  <c r="BE123" i="22"/>
  <c r="BD123" i="22"/>
  <c r="BC123" i="22"/>
  <c r="BB123" i="22"/>
  <c r="BA123" i="22"/>
  <c r="AZ123" i="22"/>
  <c r="AY123" i="22"/>
  <c r="AX123" i="22"/>
  <c r="AW123" i="22"/>
  <c r="AV123" i="22"/>
  <c r="AU123" i="22"/>
  <c r="AT123" i="22"/>
  <c r="AS123" i="22"/>
  <c r="AR123" i="22"/>
  <c r="AQ123" i="22"/>
  <c r="AP123" i="22"/>
  <c r="AO123" i="22"/>
  <c r="AN123" i="22"/>
  <c r="AM123" i="22"/>
  <c r="AL123" i="22"/>
  <c r="AK123" i="22"/>
  <c r="AJ123" i="22"/>
  <c r="AI123" i="22"/>
  <c r="AH123" i="22"/>
  <c r="AG123" i="22"/>
  <c r="AF123" i="22"/>
  <c r="AE123" i="22"/>
  <c r="AD123" i="22"/>
  <c r="AC123" i="22"/>
  <c r="AB123" i="22"/>
  <c r="AA123" i="22"/>
  <c r="Z123" i="22"/>
  <c r="Y123" i="22"/>
  <c r="X123" i="22"/>
  <c r="W123" i="22"/>
  <c r="V123" i="22"/>
  <c r="U123" i="22"/>
  <c r="T123" i="22"/>
  <c r="S123" i="22"/>
  <c r="R123" i="22"/>
  <c r="Q123" i="22"/>
  <c r="P123" i="22"/>
  <c r="O123" i="22"/>
  <c r="N123" i="22"/>
  <c r="M123" i="22"/>
  <c r="L123" i="22"/>
  <c r="K123" i="22"/>
  <c r="J123" i="22"/>
  <c r="I123" i="22"/>
  <c r="H123" i="22"/>
  <c r="G123" i="22"/>
  <c r="F123" i="22"/>
  <c r="E123" i="22"/>
  <c r="D123" i="22"/>
  <c r="C123" i="22"/>
  <c r="B123" i="22"/>
  <c r="A123" i="22"/>
  <c r="G616" i="22" s="1"/>
  <c r="CB122" i="22"/>
  <c r="CA122" i="22"/>
  <c r="BZ122" i="22"/>
  <c r="BY122" i="22"/>
  <c r="BX122" i="22"/>
  <c r="AT141" i="22"/>
  <c r="AV141" i="22"/>
  <c r="AI140" i="22"/>
  <c r="BT122" i="22"/>
  <c r="BS122" i="22"/>
  <c r="BR122" i="22"/>
  <c r="BQ122" i="22"/>
  <c r="BP122" i="22"/>
  <c r="BO122" i="22"/>
  <c r="BN122" i="22"/>
  <c r="BM122" i="22"/>
  <c r="BL122" i="22"/>
  <c r="BK122" i="22"/>
  <c r="BJ122" i="22"/>
  <c r="BI122" i="22"/>
  <c r="BH122" i="22"/>
  <c r="BG122" i="22"/>
  <c r="BF122" i="22"/>
  <c r="BE122" i="22"/>
  <c r="BD122" i="22"/>
  <c r="BC122" i="22"/>
  <c r="BB122" i="22"/>
  <c r="BA122" i="22"/>
  <c r="AZ122" i="22"/>
  <c r="AY122" i="22"/>
  <c r="AX122" i="22"/>
  <c r="AW122" i="22"/>
  <c r="AV122" i="22"/>
  <c r="AU122" i="22"/>
  <c r="AT122" i="22"/>
  <c r="AS122" i="22"/>
  <c r="AR122" i="22"/>
  <c r="AQ122" i="22"/>
  <c r="AP122" i="22"/>
  <c r="AO122" i="22"/>
  <c r="AN122" i="22"/>
  <c r="AM122" i="22"/>
  <c r="AL122" i="22"/>
  <c r="AK122" i="22"/>
  <c r="AJ122" i="22"/>
  <c r="AI122" i="22"/>
  <c r="AH122" i="22"/>
  <c r="AG122" i="22"/>
  <c r="AF122" i="22"/>
  <c r="AE122" i="22"/>
  <c r="AD122" i="22"/>
  <c r="AC122" i="22"/>
  <c r="AB122" i="22"/>
  <c r="AA122" i="22"/>
  <c r="Z122" i="22"/>
  <c r="Y122" i="22"/>
  <c r="X122" i="22"/>
  <c r="W122" i="22"/>
  <c r="V122" i="22"/>
  <c r="U122" i="22"/>
  <c r="T122" i="22"/>
  <c r="S122" i="22"/>
  <c r="R122" i="22"/>
  <c r="Q122" i="22"/>
  <c r="P122" i="22"/>
  <c r="O122" i="22"/>
  <c r="N122" i="22"/>
  <c r="M122" i="22"/>
  <c r="L122" i="22"/>
  <c r="K122" i="22"/>
  <c r="J122" i="22"/>
  <c r="I122" i="22"/>
  <c r="H122" i="22"/>
  <c r="G122" i="22"/>
  <c r="F122" i="22"/>
  <c r="E122" i="22"/>
  <c r="D122" i="22"/>
  <c r="C122" i="22"/>
  <c r="B122" i="22"/>
  <c r="A122" i="22"/>
  <c r="CB121" i="22"/>
  <c r="CA121" i="22"/>
  <c r="BZ121" i="22"/>
  <c r="BY121" i="22"/>
  <c r="BX121" i="22"/>
  <c r="BW121" i="22"/>
  <c r="BV121" i="22"/>
  <c r="BU121" i="22"/>
  <c r="BT121" i="22"/>
  <c r="BS121" i="22"/>
  <c r="BR121" i="22"/>
  <c r="BQ121" i="22"/>
  <c r="BP121" i="22"/>
  <c r="BO121" i="22"/>
  <c r="BN121" i="22"/>
  <c r="BM121" i="22"/>
  <c r="BL121" i="22"/>
  <c r="BK121" i="22"/>
  <c r="BJ121" i="22"/>
  <c r="BI121" i="22"/>
  <c r="BH121" i="22"/>
  <c r="BG121" i="22"/>
  <c r="BF121" i="22"/>
  <c r="BE121" i="22"/>
  <c r="BD121" i="22"/>
  <c r="BC121" i="22"/>
  <c r="BB121" i="22"/>
  <c r="BA121" i="22"/>
  <c r="AZ121" i="22"/>
  <c r="AY121" i="22"/>
  <c r="AX121" i="22"/>
  <c r="AW121" i="22"/>
  <c r="AV121" i="22"/>
  <c r="AU121" i="22"/>
  <c r="AT121" i="22"/>
  <c r="AS121" i="22"/>
  <c r="AR121" i="22"/>
  <c r="AQ121" i="22"/>
  <c r="AP121" i="22"/>
  <c r="AO121" i="22"/>
  <c r="AN121" i="22"/>
  <c r="AM121" i="22"/>
  <c r="AL121" i="22"/>
  <c r="AK121" i="22"/>
  <c r="AJ121" i="22"/>
  <c r="AI121" i="22"/>
  <c r="AH121" i="22"/>
  <c r="AG121" i="22"/>
  <c r="AF121" i="22"/>
  <c r="AE121" i="22"/>
  <c r="AD121" i="22"/>
  <c r="AC121" i="22"/>
  <c r="AB121" i="22"/>
  <c r="AA121" i="22"/>
  <c r="Z121" i="22"/>
  <c r="Y121" i="22"/>
  <c r="X121" i="22"/>
  <c r="W121" i="22"/>
  <c r="V121" i="22"/>
  <c r="U121" i="22"/>
  <c r="T121" i="22"/>
  <c r="S121" i="22"/>
  <c r="R121" i="22"/>
  <c r="Q121" i="22"/>
  <c r="P121" i="22"/>
  <c r="O121" i="22"/>
  <c r="N121" i="22"/>
  <c r="M121" i="22"/>
  <c r="L121" i="22"/>
  <c r="K121" i="22"/>
  <c r="J121" i="22"/>
  <c r="I121" i="22"/>
  <c r="H121" i="22"/>
  <c r="G121" i="22"/>
  <c r="F121" i="22"/>
  <c r="E121" i="22"/>
  <c r="D121" i="22"/>
  <c r="C121" i="22"/>
  <c r="B121" i="22"/>
  <c r="A121" i="22"/>
  <c r="G614" i="22" s="1"/>
  <c r="CB120" i="22"/>
  <c r="CA120" i="22"/>
  <c r="BZ120" i="22"/>
  <c r="BY120" i="22"/>
  <c r="BX120" i="22"/>
  <c r="BW120" i="22"/>
  <c r="BV120" i="22"/>
  <c r="BU120" i="22"/>
  <c r="BT120" i="22"/>
  <c r="BS120" i="22"/>
  <c r="BR120" i="22"/>
  <c r="BQ120" i="22"/>
  <c r="BP120" i="22"/>
  <c r="BO120" i="22"/>
  <c r="BN120" i="22"/>
  <c r="BM120" i="22"/>
  <c r="BL120" i="22"/>
  <c r="BK120" i="22"/>
  <c r="BJ120" i="22"/>
  <c r="BI120" i="22"/>
  <c r="BH120" i="22"/>
  <c r="BG120" i="22"/>
  <c r="BF120" i="22"/>
  <c r="BE120" i="22"/>
  <c r="BD120" i="22"/>
  <c r="BC120" i="22"/>
  <c r="BB120" i="22"/>
  <c r="BA120" i="22"/>
  <c r="AZ120" i="22"/>
  <c r="AY120" i="22"/>
  <c r="AX120" i="22"/>
  <c r="AW120" i="22"/>
  <c r="AV120" i="22"/>
  <c r="AU120" i="22"/>
  <c r="AT120" i="22"/>
  <c r="AS120" i="22"/>
  <c r="AR120" i="22"/>
  <c r="AQ120" i="22"/>
  <c r="AP120" i="22"/>
  <c r="AO120" i="22"/>
  <c r="AN120" i="22"/>
  <c r="AM120" i="22"/>
  <c r="AL120" i="22"/>
  <c r="AK120" i="22"/>
  <c r="AJ120" i="22"/>
  <c r="AI120" i="22"/>
  <c r="AH120" i="22"/>
  <c r="AG120" i="22"/>
  <c r="AF120" i="22"/>
  <c r="AE120" i="22"/>
  <c r="AD120" i="22"/>
  <c r="AC120" i="22"/>
  <c r="AB120" i="22"/>
  <c r="AA120" i="22"/>
  <c r="Z120" i="22"/>
  <c r="Y120" i="22"/>
  <c r="X120" i="22"/>
  <c r="W120" i="22"/>
  <c r="V120" i="22"/>
  <c r="U120" i="22"/>
  <c r="T120" i="22"/>
  <c r="S120" i="22"/>
  <c r="R120" i="22"/>
  <c r="Q120" i="22"/>
  <c r="P120" i="22"/>
  <c r="O120" i="22"/>
  <c r="N120" i="22"/>
  <c r="M120" i="22"/>
  <c r="L120" i="22"/>
  <c r="K120" i="22"/>
  <c r="J120" i="22"/>
  <c r="I120" i="22"/>
  <c r="H120" i="22"/>
  <c r="G120" i="22"/>
  <c r="F120" i="22"/>
  <c r="E120" i="22"/>
  <c r="D120" i="22"/>
  <c r="C120" i="22"/>
  <c r="B120" i="22"/>
  <c r="A120" i="22"/>
  <c r="CB119" i="22"/>
  <c r="CA119" i="22"/>
  <c r="BZ119" i="22"/>
  <c r="BY119" i="22"/>
  <c r="BX119" i="22"/>
  <c r="BW119" i="22"/>
  <c r="BV119" i="22"/>
  <c r="BU119" i="22"/>
  <c r="BT119" i="22"/>
  <c r="BS119" i="22"/>
  <c r="BR119" i="22"/>
  <c r="BQ119" i="22"/>
  <c r="BP119" i="22"/>
  <c r="BO119" i="22"/>
  <c r="BN119" i="22"/>
  <c r="BM119" i="22"/>
  <c r="BL119" i="22"/>
  <c r="BK119" i="22"/>
  <c r="BJ119" i="22"/>
  <c r="BI119" i="22"/>
  <c r="BH119" i="22"/>
  <c r="BG119" i="22"/>
  <c r="BF119" i="22"/>
  <c r="BE119" i="22"/>
  <c r="BD119" i="22"/>
  <c r="BC119" i="22"/>
  <c r="BB119" i="22"/>
  <c r="BA119" i="22"/>
  <c r="AZ119" i="22"/>
  <c r="AY119" i="22"/>
  <c r="AX119" i="22"/>
  <c r="AW119" i="22"/>
  <c r="AV119" i="22"/>
  <c r="AU119" i="22"/>
  <c r="AT119" i="22"/>
  <c r="AS119" i="22"/>
  <c r="AR119" i="22"/>
  <c r="AQ119" i="22"/>
  <c r="AP119" i="22"/>
  <c r="AO119" i="22"/>
  <c r="AN119" i="22"/>
  <c r="AM119" i="22"/>
  <c r="AL119" i="22"/>
  <c r="AK119" i="22"/>
  <c r="AJ119" i="22"/>
  <c r="AI119" i="22"/>
  <c r="AH119" i="22"/>
  <c r="AG119" i="22"/>
  <c r="AF119" i="22"/>
  <c r="AE119" i="22"/>
  <c r="AD119" i="22"/>
  <c r="AC119" i="22"/>
  <c r="AB119" i="22"/>
  <c r="AA119" i="22"/>
  <c r="Z119" i="22"/>
  <c r="Y119" i="22"/>
  <c r="X119" i="22"/>
  <c r="W119" i="22"/>
  <c r="V119" i="22"/>
  <c r="U119" i="22"/>
  <c r="T119" i="22"/>
  <c r="S119" i="22"/>
  <c r="R119" i="22"/>
  <c r="Q119" i="22"/>
  <c r="P119" i="22"/>
  <c r="O119" i="22"/>
  <c r="N119" i="22"/>
  <c r="M119" i="22"/>
  <c r="L119" i="22"/>
  <c r="K119" i="22"/>
  <c r="J119" i="22"/>
  <c r="I119" i="22"/>
  <c r="H119" i="22"/>
  <c r="G119" i="22"/>
  <c r="F119" i="22"/>
  <c r="E119" i="22"/>
  <c r="D119" i="22"/>
  <c r="C119" i="22"/>
  <c r="B119" i="22"/>
  <c r="A119" i="22"/>
  <c r="CB118" i="22"/>
  <c r="CA118" i="22"/>
  <c r="BZ118" i="22"/>
  <c r="BY118" i="22"/>
  <c r="BX118" i="22"/>
  <c r="BW118" i="22"/>
  <c r="BV118" i="22"/>
  <c r="BU118" i="22"/>
  <c r="BT118" i="22"/>
  <c r="BS118" i="22"/>
  <c r="BR118" i="22"/>
  <c r="BQ118" i="22"/>
  <c r="BP118" i="22"/>
  <c r="BO118" i="22"/>
  <c r="BN118" i="22"/>
  <c r="BM118" i="22"/>
  <c r="BL118" i="22"/>
  <c r="BK118" i="22"/>
  <c r="BJ118" i="22"/>
  <c r="BI118" i="22"/>
  <c r="BH118" i="22"/>
  <c r="BG118" i="22"/>
  <c r="BF118" i="22"/>
  <c r="BE118" i="22"/>
  <c r="BD118" i="22"/>
  <c r="BC118" i="22"/>
  <c r="BB118" i="22"/>
  <c r="BA118" i="22"/>
  <c r="AZ118" i="22"/>
  <c r="AY118" i="22"/>
  <c r="AX118" i="22"/>
  <c r="AW118" i="22"/>
  <c r="AV118" i="22"/>
  <c r="AU118" i="22"/>
  <c r="AT118" i="22"/>
  <c r="AS118" i="22"/>
  <c r="AR118" i="22"/>
  <c r="AQ118" i="22"/>
  <c r="AP118" i="22"/>
  <c r="AO118" i="22"/>
  <c r="AN118" i="22"/>
  <c r="AM118" i="22"/>
  <c r="AL118" i="22"/>
  <c r="AK118" i="22"/>
  <c r="AJ118" i="22"/>
  <c r="AI118" i="22"/>
  <c r="AH118" i="22"/>
  <c r="AG118" i="22"/>
  <c r="AF118" i="22"/>
  <c r="AE118" i="22"/>
  <c r="AD118" i="22"/>
  <c r="AC118" i="22"/>
  <c r="AB118" i="22"/>
  <c r="AA118" i="22"/>
  <c r="Z118" i="22"/>
  <c r="Y118" i="22"/>
  <c r="X118" i="22"/>
  <c r="W118" i="22"/>
  <c r="V118" i="22"/>
  <c r="U118" i="22"/>
  <c r="T118" i="22"/>
  <c r="S118" i="22"/>
  <c r="R118" i="22"/>
  <c r="Q118" i="22"/>
  <c r="P118" i="22"/>
  <c r="O118" i="22"/>
  <c r="N118" i="22"/>
  <c r="M118" i="22"/>
  <c r="L118" i="22"/>
  <c r="K118" i="22"/>
  <c r="J118" i="22"/>
  <c r="I118" i="22"/>
  <c r="H118" i="22"/>
  <c r="G118" i="22"/>
  <c r="F118" i="22"/>
  <c r="E118" i="22"/>
  <c r="D118" i="22"/>
  <c r="C118" i="22"/>
  <c r="B118" i="22"/>
  <c r="A118" i="22"/>
  <c r="CB117" i="22"/>
  <c r="CA117" i="22"/>
  <c r="BZ117" i="22"/>
  <c r="BY117" i="22"/>
  <c r="BX117" i="22"/>
  <c r="BW117" i="22"/>
  <c r="BV117" i="22"/>
  <c r="BU117" i="22"/>
  <c r="BT117" i="22"/>
  <c r="BS117" i="22"/>
  <c r="BR117" i="22"/>
  <c r="BQ117" i="22"/>
  <c r="BP117" i="22"/>
  <c r="BO117" i="22"/>
  <c r="BN117" i="22"/>
  <c r="BM117" i="22"/>
  <c r="BL117" i="22"/>
  <c r="BK117" i="22"/>
  <c r="BJ117" i="22"/>
  <c r="BI117" i="22"/>
  <c r="BH117" i="22"/>
  <c r="BG117" i="22"/>
  <c r="BF117" i="22"/>
  <c r="BE117" i="22"/>
  <c r="BD117" i="22"/>
  <c r="BC117" i="22"/>
  <c r="BB117" i="22"/>
  <c r="BA117" i="22"/>
  <c r="AZ117" i="22"/>
  <c r="AY117" i="22"/>
  <c r="AX117" i="22"/>
  <c r="AW117" i="22"/>
  <c r="AV117" i="22"/>
  <c r="AU117" i="22"/>
  <c r="AT117" i="22"/>
  <c r="AS117" i="22"/>
  <c r="AR117" i="22"/>
  <c r="AQ117" i="22"/>
  <c r="AP117" i="22"/>
  <c r="AO117" i="22"/>
  <c r="AN117" i="22"/>
  <c r="AM117" i="22"/>
  <c r="AL117" i="22"/>
  <c r="AK117" i="22"/>
  <c r="AJ117" i="22"/>
  <c r="AI117" i="22"/>
  <c r="AH117" i="22"/>
  <c r="AG117" i="22"/>
  <c r="AF117" i="22"/>
  <c r="AE117" i="22"/>
  <c r="AD117" i="22"/>
  <c r="AC117" i="22"/>
  <c r="AB117" i="22"/>
  <c r="AA117" i="22"/>
  <c r="Z117" i="22"/>
  <c r="Y117" i="22"/>
  <c r="X117" i="22"/>
  <c r="W117" i="22"/>
  <c r="V117" i="22"/>
  <c r="U117" i="22"/>
  <c r="T117" i="22"/>
  <c r="S117" i="22"/>
  <c r="R117" i="22"/>
  <c r="Q117" i="22"/>
  <c r="P117" i="22"/>
  <c r="O117" i="22"/>
  <c r="N117" i="22"/>
  <c r="M117" i="22"/>
  <c r="L117" i="22"/>
  <c r="K117" i="22"/>
  <c r="J117" i="22"/>
  <c r="I117" i="22"/>
  <c r="H117" i="22"/>
  <c r="G117" i="22"/>
  <c r="F117" i="22"/>
  <c r="E117" i="22"/>
  <c r="D117" i="22"/>
  <c r="C117" i="22"/>
  <c r="B117" i="22"/>
  <c r="A117" i="22"/>
  <c r="G610" i="22" s="1"/>
  <c r="CB116" i="22"/>
  <c r="CA116" i="22"/>
  <c r="BZ116" i="22"/>
  <c r="BY116" i="22"/>
  <c r="BX116" i="22"/>
  <c r="BW116" i="22"/>
  <c r="BV116" i="22"/>
  <c r="BU116" i="22"/>
  <c r="BT116" i="22"/>
  <c r="BS116" i="22"/>
  <c r="BR116" i="22"/>
  <c r="BQ116" i="22"/>
  <c r="BP116" i="22"/>
  <c r="BO116" i="22"/>
  <c r="BN116" i="22"/>
  <c r="BM116" i="22"/>
  <c r="BL116" i="22"/>
  <c r="BK116" i="22"/>
  <c r="BJ116" i="22"/>
  <c r="BI116" i="22"/>
  <c r="BH116" i="22"/>
  <c r="BG116" i="22"/>
  <c r="BF116" i="22"/>
  <c r="BE116" i="22"/>
  <c r="BD116" i="22"/>
  <c r="BC116" i="22"/>
  <c r="BB116" i="22"/>
  <c r="BA116" i="22"/>
  <c r="AZ116" i="22"/>
  <c r="AY116" i="22"/>
  <c r="AX116" i="22"/>
  <c r="AW116" i="22"/>
  <c r="AV116" i="22"/>
  <c r="AU116" i="22"/>
  <c r="AT116" i="22"/>
  <c r="AS116" i="22"/>
  <c r="AR116" i="22"/>
  <c r="AQ116" i="22"/>
  <c r="AP116" i="22"/>
  <c r="AO116" i="22"/>
  <c r="AN116" i="22"/>
  <c r="AM116" i="22"/>
  <c r="AL116" i="22"/>
  <c r="AK116" i="22"/>
  <c r="AJ116" i="22"/>
  <c r="AI116" i="22"/>
  <c r="AH116" i="22"/>
  <c r="AG116" i="22"/>
  <c r="AF116" i="22"/>
  <c r="AE116" i="22"/>
  <c r="AD116" i="22"/>
  <c r="AC116" i="22"/>
  <c r="AB116" i="22"/>
  <c r="AA116" i="22"/>
  <c r="Z116" i="22"/>
  <c r="Y116" i="22"/>
  <c r="X116" i="22"/>
  <c r="W116" i="22"/>
  <c r="V116" i="22"/>
  <c r="U116" i="22"/>
  <c r="T116" i="22"/>
  <c r="S116" i="22"/>
  <c r="R116" i="22"/>
  <c r="Q116" i="22"/>
  <c r="P116" i="22"/>
  <c r="O116" i="22"/>
  <c r="N116" i="22"/>
  <c r="M116" i="22"/>
  <c r="L116" i="22"/>
  <c r="K116" i="22"/>
  <c r="J116" i="22"/>
  <c r="I116" i="22"/>
  <c r="H116" i="22"/>
  <c r="G116" i="22"/>
  <c r="F116" i="22"/>
  <c r="E116" i="22"/>
  <c r="D116" i="22"/>
  <c r="C116" i="22"/>
  <c r="B116" i="22"/>
  <c r="A116" i="22"/>
  <c r="CB115" i="22"/>
  <c r="CA115" i="22"/>
  <c r="BZ115" i="22"/>
  <c r="BY115" i="22"/>
  <c r="BX115" i="22"/>
  <c r="BW115" i="22"/>
  <c r="BV115" i="22"/>
  <c r="BU115" i="22"/>
  <c r="BT115" i="22"/>
  <c r="BS115" i="22"/>
  <c r="BR115" i="22"/>
  <c r="BQ115" i="22"/>
  <c r="BP115" i="22"/>
  <c r="BO115" i="22"/>
  <c r="BN115" i="22"/>
  <c r="BM115" i="22"/>
  <c r="BL115" i="22"/>
  <c r="BK115" i="22"/>
  <c r="BJ115" i="22"/>
  <c r="BI115" i="22"/>
  <c r="BH115" i="22"/>
  <c r="BG115" i="22"/>
  <c r="BF115" i="22"/>
  <c r="BE115" i="22"/>
  <c r="BD115" i="22"/>
  <c r="BC115" i="22"/>
  <c r="BB115" i="22"/>
  <c r="BA115" i="22"/>
  <c r="AZ115" i="22"/>
  <c r="AY115" i="22"/>
  <c r="AX115" i="22"/>
  <c r="AW115" i="22"/>
  <c r="AV115" i="22"/>
  <c r="AU115" i="22"/>
  <c r="AT115" i="22"/>
  <c r="AS115" i="22"/>
  <c r="AR115" i="22"/>
  <c r="AQ115" i="22"/>
  <c r="AP115" i="22"/>
  <c r="AO115" i="22"/>
  <c r="AN115" i="22"/>
  <c r="AM115" i="22"/>
  <c r="AL115" i="22"/>
  <c r="AK115" i="22"/>
  <c r="AJ115" i="22"/>
  <c r="AI115" i="22"/>
  <c r="AH115" i="22"/>
  <c r="AG115" i="22"/>
  <c r="AF115" i="22"/>
  <c r="AE115" i="22"/>
  <c r="AD115" i="22"/>
  <c r="AC115" i="22"/>
  <c r="AB115" i="22"/>
  <c r="AA115" i="22"/>
  <c r="Z115" i="22"/>
  <c r="Y115" i="22"/>
  <c r="X115" i="22"/>
  <c r="W115" i="22"/>
  <c r="V115" i="22"/>
  <c r="U115" i="22"/>
  <c r="T115" i="22"/>
  <c r="S115" i="22"/>
  <c r="R115" i="22"/>
  <c r="Q115" i="22"/>
  <c r="P115" i="22"/>
  <c r="O115" i="22"/>
  <c r="N115" i="22"/>
  <c r="M115" i="22"/>
  <c r="L115" i="22"/>
  <c r="K115" i="22"/>
  <c r="J115" i="22"/>
  <c r="I115" i="22"/>
  <c r="H115" i="22"/>
  <c r="G115" i="22"/>
  <c r="F115" i="22"/>
  <c r="E115" i="22"/>
  <c r="D115" i="22"/>
  <c r="C115" i="22"/>
  <c r="B115" i="22"/>
  <c r="A115" i="22"/>
  <c r="G608" i="22" s="1"/>
  <c r="CB114" i="22"/>
  <c r="CA114" i="22"/>
  <c r="BZ114" i="22"/>
  <c r="BY114" i="22"/>
  <c r="BX114" i="22"/>
  <c r="BW114" i="22"/>
  <c r="BV114" i="22"/>
  <c r="BU114" i="22"/>
  <c r="BT114" i="22"/>
  <c r="BS114" i="22"/>
  <c r="BR114" i="22"/>
  <c r="BQ114" i="22"/>
  <c r="BP114" i="22"/>
  <c r="BO114" i="22"/>
  <c r="BN114" i="22"/>
  <c r="BM114" i="22"/>
  <c r="BL114" i="22"/>
  <c r="BK114" i="22"/>
  <c r="BJ114" i="22"/>
  <c r="BI114" i="22"/>
  <c r="BH114" i="22"/>
  <c r="BG114" i="22"/>
  <c r="BF114" i="22"/>
  <c r="BE114" i="22"/>
  <c r="BD114" i="22"/>
  <c r="BC114" i="22"/>
  <c r="BB114" i="22"/>
  <c r="BA114" i="22"/>
  <c r="AZ114" i="22"/>
  <c r="AY114" i="22"/>
  <c r="AX114" i="22"/>
  <c r="AW114" i="22"/>
  <c r="AV114" i="22"/>
  <c r="AU114" i="22"/>
  <c r="AT114" i="22"/>
  <c r="AS114" i="22"/>
  <c r="AR114" i="22"/>
  <c r="AQ114" i="22"/>
  <c r="AP114" i="22"/>
  <c r="AO114" i="22"/>
  <c r="AN114" i="22"/>
  <c r="AM114" i="22"/>
  <c r="AL114" i="22"/>
  <c r="AK114" i="22"/>
  <c r="AJ114" i="22"/>
  <c r="AI114" i="22"/>
  <c r="AH114" i="22"/>
  <c r="AG114" i="22"/>
  <c r="AF114" i="22"/>
  <c r="AE114" i="22"/>
  <c r="AD114" i="22"/>
  <c r="AC114" i="22"/>
  <c r="AB114" i="22"/>
  <c r="AA114" i="22"/>
  <c r="Z114" i="22"/>
  <c r="Y114" i="22"/>
  <c r="X114" i="22"/>
  <c r="W114" i="22"/>
  <c r="V114" i="22"/>
  <c r="U114" i="22"/>
  <c r="T114" i="22"/>
  <c r="S114" i="22"/>
  <c r="R114" i="22"/>
  <c r="Q114" i="22"/>
  <c r="P114" i="22"/>
  <c r="O114" i="22"/>
  <c r="N114" i="22"/>
  <c r="M114" i="22"/>
  <c r="L114" i="22"/>
  <c r="K114" i="22"/>
  <c r="J114" i="22"/>
  <c r="I114" i="22"/>
  <c r="H114" i="22"/>
  <c r="G114" i="22"/>
  <c r="F114" i="22"/>
  <c r="E114" i="22"/>
  <c r="D114" i="22"/>
  <c r="C114" i="22"/>
  <c r="B114" i="22"/>
  <c r="A114" i="22"/>
  <c r="CB113" i="22"/>
  <c r="CA113" i="22"/>
  <c r="BZ113" i="22"/>
  <c r="BY113" i="22"/>
  <c r="BX113" i="22"/>
  <c r="BW113" i="22"/>
  <c r="BV113" i="22"/>
  <c r="BU113" i="22"/>
  <c r="BT113" i="22"/>
  <c r="BS113" i="22"/>
  <c r="BR113" i="22"/>
  <c r="BQ113" i="22"/>
  <c r="BP113" i="22"/>
  <c r="BO113" i="22"/>
  <c r="BN113" i="22"/>
  <c r="BM113" i="22"/>
  <c r="BL113" i="22"/>
  <c r="BK113" i="22"/>
  <c r="BJ113" i="22"/>
  <c r="BI113" i="22"/>
  <c r="BH113" i="22"/>
  <c r="BG113" i="22"/>
  <c r="BF113" i="22"/>
  <c r="BE113" i="22"/>
  <c r="BD113" i="22"/>
  <c r="BC113" i="22"/>
  <c r="BB113" i="22"/>
  <c r="BA113" i="22"/>
  <c r="AZ113" i="22"/>
  <c r="AY113" i="22"/>
  <c r="AX113" i="22"/>
  <c r="AW113" i="22"/>
  <c r="AV113" i="22"/>
  <c r="AU113" i="22"/>
  <c r="AT113" i="22"/>
  <c r="AS113" i="22"/>
  <c r="AR113" i="22"/>
  <c r="AQ113" i="22"/>
  <c r="AP113" i="22"/>
  <c r="AO113" i="22"/>
  <c r="AN113" i="22"/>
  <c r="AM113" i="22"/>
  <c r="AL113" i="22"/>
  <c r="AK113" i="22"/>
  <c r="AJ113" i="22"/>
  <c r="AI113" i="22"/>
  <c r="AH113" i="22"/>
  <c r="AG113" i="22"/>
  <c r="AF113" i="22"/>
  <c r="AE113" i="22"/>
  <c r="AD113" i="22"/>
  <c r="AC113" i="22"/>
  <c r="AB113" i="22"/>
  <c r="AA113" i="22"/>
  <c r="Z113" i="22"/>
  <c r="Y113" i="22"/>
  <c r="X113" i="22"/>
  <c r="W113" i="22"/>
  <c r="V113" i="22"/>
  <c r="U113" i="22"/>
  <c r="T113" i="22"/>
  <c r="S113" i="22"/>
  <c r="R113" i="22"/>
  <c r="Q113" i="22"/>
  <c r="P113" i="22"/>
  <c r="O113" i="22"/>
  <c r="N113" i="22"/>
  <c r="M113" i="22"/>
  <c r="L113" i="22"/>
  <c r="K113" i="22"/>
  <c r="J113" i="22"/>
  <c r="I113" i="22"/>
  <c r="H113" i="22"/>
  <c r="G113" i="22"/>
  <c r="F113" i="22"/>
  <c r="E113" i="22"/>
  <c r="D113" i="22"/>
  <c r="C113" i="22"/>
  <c r="B113" i="22"/>
  <c r="A113" i="22"/>
  <c r="G606" i="22" s="1"/>
  <c r="CB112" i="22"/>
  <c r="CA112" i="22"/>
  <c r="BZ112" i="22"/>
  <c r="BY112" i="22"/>
  <c r="BX112" i="22"/>
  <c r="BW112" i="22"/>
  <c r="BV112" i="22"/>
  <c r="BU112" i="22"/>
  <c r="BT112" i="22"/>
  <c r="BS112" i="22"/>
  <c r="BR112" i="22"/>
  <c r="BQ112" i="22"/>
  <c r="BP112" i="22"/>
  <c r="BO112" i="22"/>
  <c r="BN112" i="22"/>
  <c r="BM112" i="22"/>
  <c r="BL112" i="22"/>
  <c r="BK112" i="22"/>
  <c r="BJ112" i="22"/>
  <c r="BI112" i="22"/>
  <c r="BH112" i="22"/>
  <c r="BG112" i="22"/>
  <c r="BF112" i="22"/>
  <c r="BE112" i="22"/>
  <c r="BD112" i="22"/>
  <c r="BC112" i="22"/>
  <c r="BB112" i="22"/>
  <c r="BA112" i="22"/>
  <c r="AZ112" i="22"/>
  <c r="AY112" i="22"/>
  <c r="AX112" i="22"/>
  <c r="AW112" i="22"/>
  <c r="AV112" i="22"/>
  <c r="AU112" i="22"/>
  <c r="AT112" i="22"/>
  <c r="AS112" i="22"/>
  <c r="AR112" i="22"/>
  <c r="AQ112" i="22"/>
  <c r="AP112" i="22"/>
  <c r="AO112" i="22"/>
  <c r="AN112" i="22"/>
  <c r="AM112" i="22"/>
  <c r="AL112" i="22"/>
  <c r="AK112" i="22"/>
  <c r="AJ112" i="22"/>
  <c r="AI112" i="22"/>
  <c r="AH112" i="22"/>
  <c r="AG112" i="22"/>
  <c r="AF112" i="22"/>
  <c r="AE112" i="22"/>
  <c r="AD112" i="22"/>
  <c r="AC112" i="22"/>
  <c r="AB112" i="22"/>
  <c r="AA112" i="22"/>
  <c r="Z112" i="22"/>
  <c r="Y112" i="22"/>
  <c r="X112" i="22"/>
  <c r="W112" i="22"/>
  <c r="V112" i="22"/>
  <c r="U112" i="22"/>
  <c r="T112" i="22"/>
  <c r="S112" i="22"/>
  <c r="R112" i="22"/>
  <c r="Q112" i="22"/>
  <c r="P112" i="22"/>
  <c r="O112" i="22"/>
  <c r="N112" i="22"/>
  <c r="M112" i="22"/>
  <c r="L112" i="22"/>
  <c r="K112" i="22"/>
  <c r="J112" i="22"/>
  <c r="I112" i="22"/>
  <c r="H112" i="22"/>
  <c r="G112" i="22"/>
  <c r="F112" i="22"/>
  <c r="E112" i="22"/>
  <c r="D112" i="22"/>
  <c r="C112" i="22"/>
  <c r="B112" i="22"/>
  <c r="A112" i="22"/>
  <c r="G605" i="22" s="1"/>
  <c r="CB111" i="22"/>
  <c r="CA111" i="22"/>
  <c r="BZ111" i="22"/>
  <c r="BY111" i="22"/>
  <c r="BX111" i="22"/>
  <c r="BW111" i="22"/>
  <c r="BV111" i="22"/>
  <c r="BU111" i="22"/>
  <c r="BT111" i="22"/>
  <c r="BS111" i="22"/>
  <c r="BR111" i="22"/>
  <c r="BQ111" i="22"/>
  <c r="BP111" i="22"/>
  <c r="BO111" i="22"/>
  <c r="BN111" i="22"/>
  <c r="BM111" i="22"/>
  <c r="BL111" i="22"/>
  <c r="BK111" i="22"/>
  <c r="BJ111" i="22"/>
  <c r="BI111" i="22"/>
  <c r="BH111" i="22"/>
  <c r="BG111" i="22"/>
  <c r="BF111" i="22"/>
  <c r="BE111" i="22"/>
  <c r="BD111" i="22"/>
  <c r="BC111" i="22"/>
  <c r="BB111" i="22"/>
  <c r="BA111" i="22"/>
  <c r="AZ111" i="22"/>
  <c r="AY111" i="22"/>
  <c r="AX111" i="22"/>
  <c r="AW111" i="22"/>
  <c r="AV111" i="22"/>
  <c r="AU111" i="22"/>
  <c r="AT111" i="22"/>
  <c r="AS111" i="22"/>
  <c r="AR111" i="22"/>
  <c r="AQ111" i="22"/>
  <c r="AP111" i="22"/>
  <c r="AO111" i="22"/>
  <c r="AN111" i="22"/>
  <c r="AM111" i="22"/>
  <c r="AL111" i="22"/>
  <c r="AK111" i="22"/>
  <c r="AJ111" i="22"/>
  <c r="AI111" i="22"/>
  <c r="AH111" i="22"/>
  <c r="AG111" i="22"/>
  <c r="AF111" i="22"/>
  <c r="AE111" i="22"/>
  <c r="AD111" i="22"/>
  <c r="AC111" i="22"/>
  <c r="AB111" i="22"/>
  <c r="AA111" i="22"/>
  <c r="Z111" i="22"/>
  <c r="Y111" i="22"/>
  <c r="X111" i="22"/>
  <c r="W111" i="22"/>
  <c r="V111" i="22"/>
  <c r="U111" i="22"/>
  <c r="T111" i="22"/>
  <c r="S111" i="22"/>
  <c r="R111" i="22"/>
  <c r="Q111" i="22"/>
  <c r="P111" i="22"/>
  <c r="O111" i="22"/>
  <c r="N111" i="22"/>
  <c r="M111" i="22"/>
  <c r="L111" i="22"/>
  <c r="K111" i="22"/>
  <c r="J111" i="22"/>
  <c r="I111" i="22"/>
  <c r="H111" i="22"/>
  <c r="G111" i="22"/>
  <c r="F111" i="22"/>
  <c r="E111" i="22"/>
  <c r="D111" i="22"/>
  <c r="C111" i="22"/>
  <c r="B111" i="22"/>
  <c r="A111" i="22"/>
  <c r="G604" i="22" s="1"/>
  <c r="CB110" i="22"/>
  <c r="CA110" i="22"/>
  <c r="BZ110" i="22"/>
  <c r="BY110" i="22"/>
  <c r="BX110" i="22"/>
  <c r="BW110" i="22"/>
  <c r="BV110" i="22"/>
  <c r="BU110" i="22"/>
  <c r="BT110" i="22"/>
  <c r="BS110" i="22"/>
  <c r="BR110" i="22"/>
  <c r="BQ110" i="22"/>
  <c r="BP110" i="22"/>
  <c r="BO110" i="22"/>
  <c r="BN110" i="22"/>
  <c r="BM110" i="22"/>
  <c r="BL110" i="22"/>
  <c r="BK110" i="22"/>
  <c r="BJ110" i="22"/>
  <c r="BI110" i="22"/>
  <c r="BH110" i="22"/>
  <c r="BG110" i="22"/>
  <c r="BF110" i="22"/>
  <c r="BE110" i="22"/>
  <c r="BD110" i="22"/>
  <c r="BC110" i="22"/>
  <c r="BB110" i="22"/>
  <c r="BA110" i="22"/>
  <c r="AZ110" i="22"/>
  <c r="AY110" i="22"/>
  <c r="AX110" i="22"/>
  <c r="AW110" i="22"/>
  <c r="AV110" i="22"/>
  <c r="AU110" i="22"/>
  <c r="AT110" i="22"/>
  <c r="AS110" i="22"/>
  <c r="AR110" i="22"/>
  <c r="AQ110" i="22"/>
  <c r="AP110" i="22"/>
  <c r="AO110" i="22"/>
  <c r="AN110" i="22"/>
  <c r="AM110" i="22"/>
  <c r="AL110" i="22"/>
  <c r="AK110" i="22"/>
  <c r="AJ110" i="22"/>
  <c r="AI110" i="22"/>
  <c r="AH110" i="22"/>
  <c r="AG110" i="22"/>
  <c r="AF110" i="22"/>
  <c r="AE110" i="22"/>
  <c r="AD110" i="22"/>
  <c r="AC110" i="22"/>
  <c r="AB110" i="22"/>
  <c r="AA110" i="22"/>
  <c r="Z110" i="22"/>
  <c r="Y110" i="22"/>
  <c r="X110" i="22"/>
  <c r="W110" i="22"/>
  <c r="V110" i="22"/>
  <c r="U110" i="22"/>
  <c r="T110" i="22"/>
  <c r="S110" i="22"/>
  <c r="R110" i="22"/>
  <c r="Q110" i="22"/>
  <c r="P110" i="22"/>
  <c r="O110" i="22"/>
  <c r="N110" i="22"/>
  <c r="M110" i="22"/>
  <c r="L110" i="22"/>
  <c r="K110" i="22"/>
  <c r="J110" i="22"/>
  <c r="I110" i="22"/>
  <c r="H110" i="22"/>
  <c r="G110" i="22"/>
  <c r="F110" i="22"/>
  <c r="E110" i="22"/>
  <c r="D110" i="22"/>
  <c r="C110" i="22"/>
  <c r="B110" i="22"/>
  <c r="A110" i="22"/>
  <c r="CB109" i="22"/>
  <c r="CA109" i="22"/>
  <c r="BZ109" i="22"/>
  <c r="BY109" i="22"/>
  <c r="BX109" i="22"/>
  <c r="BW109" i="22"/>
  <c r="BV109" i="22"/>
  <c r="BU109" i="22"/>
  <c r="BT109" i="22"/>
  <c r="BS109" i="22"/>
  <c r="BR109" i="22"/>
  <c r="BQ109" i="22"/>
  <c r="BP109" i="22"/>
  <c r="BO109" i="22"/>
  <c r="BN109" i="22"/>
  <c r="BM109" i="22"/>
  <c r="BL109" i="22"/>
  <c r="BK109" i="22"/>
  <c r="BJ109" i="22"/>
  <c r="BI109" i="22"/>
  <c r="BH109" i="22"/>
  <c r="BG109" i="22"/>
  <c r="BF109" i="22"/>
  <c r="BE109" i="22"/>
  <c r="BD109" i="22"/>
  <c r="BC109" i="22"/>
  <c r="BB109" i="22"/>
  <c r="BA109" i="22"/>
  <c r="AZ109" i="22"/>
  <c r="AY109" i="22"/>
  <c r="AX109" i="22"/>
  <c r="AW109" i="22"/>
  <c r="AV109" i="22"/>
  <c r="AU109" i="22"/>
  <c r="AT109" i="22"/>
  <c r="AS109" i="22"/>
  <c r="AR109" i="22"/>
  <c r="AQ109" i="22"/>
  <c r="AP109" i="22"/>
  <c r="AO109" i="22"/>
  <c r="AN109" i="22"/>
  <c r="AM109" i="22"/>
  <c r="AL109" i="22"/>
  <c r="AK109" i="22"/>
  <c r="AJ109" i="22"/>
  <c r="AI109" i="22"/>
  <c r="AH109" i="22"/>
  <c r="AG109" i="22"/>
  <c r="AF109" i="22"/>
  <c r="AE109" i="22"/>
  <c r="AD109" i="22"/>
  <c r="AC109" i="22"/>
  <c r="AB109" i="22"/>
  <c r="AA109" i="22"/>
  <c r="Z109" i="22"/>
  <c r="Y109" i="22"/>
  <c r="X109" i="22"/>
  <c r="W109" i="22"/>
  <c r="V109" i="22"/>
  <c r="U109" i="22"/>
  <c r="T109" i="22"/>
  <c r="S109" i="22"/>
  <c r="R109" i="22"/>
  <c r="Q109" i="22"/>
  <c r="P109" i="22"/>
  <c r="O109" i="22"/>
  <c r="N109" i="22"/>
  <c r="M109" i="22"/>
  <c r="L109" i="22"/>
  <c r="K109" i="22"/>
  <c r="J109" i="22"/>
  <c r="I109" i="22"/>
  <c r="H109" i="22"/>
  <c r="G109" i="22"/>
  <c r="F109" i="22"/>
  <c r="E109" i="22"/>
  <c r="D109" i="22"/>
  <c r="C109" i="22"/>
  <c r="B109" i="22"/>
  <c r="A109" i="22"/>
  <c r="CB108" i="22"/>
  <c r="CA108" i="22"/>
  <c r="BZ108" i="22"/>
  <c r="BY108" i="22"/>
  <c r="BX108" i="22"/>
  <c r="BW108" i="22"/>
  <c r="BV108" i="22"/>
  <c r="BU108" i="22"/>
  <c r="BT108" i="22"/>
  <c r="BS108" i="22"/>
  <c r="BR108" i="22"/>
  <c r="BQ108" i="22"/>
  <c r="BP108" i="22"/>
  <c r="BO108" i="22"/>
  <c r="BN108" i="22"/>
  <c r="BM108" i="22"/>
  <c r="BL108" i="22"/>
  <c r="BK108" i="22"/>
  <c r="BJ108" i="22"/>
  <c r="BI108" i="22"/>
  <c r="BH108" i="22"/>
  <c r="BG108" i="22"/>
  <c r="BF108" i="22"/>
  <c r="BE108" i="22"/>
  <c r="BD108" i="22"/>
  <c r="BC108" i="22"/>
  <c r="BB108" i="22"/>
  <c r="BA108" i="22"/>
  <c r="AZ108" i="22"/>
  <c r="AY108" i="22"/>
  <c r="AX108" i="22"/>
  <c r="AW108" i="22"/>
  <c r="AV108" i="22"/>
  <c r="AU108" i="22"/>
  <c r="AT108" i="22"/>
  <c r="AS108" i="22"/>
  <c r="AR108" i="22"/>
  <c r="AQ108" i="22"/>
  <c r="AP108" i="22"/>
  <c r="AO108" i="22"/>
  <c r="AN108" i="22"/>
  <c r="AM108" i="22"/>
  <c r="AL108" i="22"/>
  <c r="AK108" i="22"/>
  <c r="AJ108" i="22"/>
  <c r="AI108" i="22"/>
  <c r="AH108" i="22"/>
  <c r="AG108" i="22"/>
  <c r="AF108" i="22"/>
  <c r="AE108" i="22"/>
  <c r="AD108" i="22"/>
  <c r="AC108" i="22"/>
  <c r="AB108" i="22"/>
  <c r="AA108" i="22"/>
  <c r="Z108" i="22"/>
  <c r="Y108" i="22"/>
  <c r="X108" i="22"/>
  <c r="W108" i="22"/>
  <c r="V108" i="22"/>
  <c r="U108" i="22"/>
  <c r="T108" i="22"/>
  <c r="S108" i="22"/>
  <c r="R108" i="22"/>
  <c r="Q108" i="22"/>
  <c r="P108" i="22"/>
  <c r="O108" i="22"/>
  <c r="N108" i="22"/>
  <c r="M108" i="22"/>
  <c r="L108" i="22"/>
  <c r="K108" i="22"/>
  <c r="J108" i="22"/>
  <c r="I108" i="22"/>
  <c r="H108" i="22"/>
  <c r="G108" i="22"/>
  <c r="F108" i="22"/>
  <c r="E108" i="22"/>
  <c r="D108" i="22"/>
  <c r="C108" i="22"/>
  <c r="B108" i="22"/>
  <c r="A108" i="22"/>
  <c r="G601" i="22" s="1"/>
  <c r="CB107" i="22"/>
  <c r="CA107" i="22"/>
  <c r="BZ107" i="22"/>
  <c r="BY107" i="22"/>
  <c r="BX107" i="22"/>
  <c r="BW107" i="22"/>
  <c r="BV107" i="22"/>
  <c r="BU107" i="22"/>
  <c r="BT107" i="22"/>
  <c r="BS107" i="22"/>
  <c r="BR107" i="22"/>
  <c r="BQ107" i="22"/>
  <c r="BP107" i="22"/>
  <c r="BO107" i="22"/>
  <c r="BN107" i="22"/>
  <c r="BM107" i="22"/>
  <c r="BL107" i="22"/>
  <c r="BK107" i="22"/>
  <c r="BJ107" i="22"/>
  <c r="BI107" i="22"/>
  <c r="BH107" i="22"/>
  <c r="BG107" i="22"/>
  <c r="BF107" i="22"/>
  <c r="BE107" i="22"/>
  <c r="BD107" i="22"/>
  <c r="BC107" i="22"/>
  <c r="BB107" i="22"/>
  <c r="BA107" i="22"/>
  <c r="AZ107" i="22"/>
  <c r="AY107" i="22"/>
  <c r="AX107" i="22"/>
  <c r="AW107" i="22"/>
  <c r="AV107" i="22"/>
  <c r="AU107" i="22"/>
  <c r="AT107" i="22"/>
  <c r="AS107" i="22"/>
  <c r="AR107" i="22"/>
  <c r="AQ107" i="22"/>
  <c r="AP107" i="22"/>
  <c r="AO107" i="22"/>
  <c r="AN107" i="22"/>
  <c r="AM107" i="22"/>
  <c r="AL107" i="22"/>
  <c r="AK107" i="22"/>
  <c r="AJ107" i="22"/>
  <c r="AI107" i="22"/>
  <c r="AH107" i="22"/>
  <c r="AG107" i="22"/>
  <c r="AF107" i="22"/>
  <c r="AE107" i="22"/>
  <c r="AD107" i="22"/>
  <c r="AC107" i="22"/>
  <c r="AB107" i="22"/>
  <c r="AA107" i="22"/>
  <c r="Z107" i="22"/>
  <c r="Y107" i="22"/>
  <c r="X107" i="22"/>
  <c r="W107" i="22"/>
  <c r="V107" i="22"/>
  <c r="U107" i="22"/>
  <c r="T107" i="22"/>
  <c r="S107" i="22"/>
  <c r="R107" i="22"/>
  <c r="Q107" i="22"/>
  <c r="P107" i="22"/>
  <c r="O107" i="22"/>
  <c r="N107" i="22"/>
  <c r="M107" i="22"/>
  <c r="L107" i="22"/>
  <c r="K107" i="22"/>
  <c r="J107" i="22"/>
  <c r="I107" i="22"/>
  <c r="H107" i="22"/>
  <c r="G107" i="22"/>
  <c r="F107" i="22"/>
  <c r="E107" i="22"/>
  <c r="D107" i="22"/>
  <c r="C107" i="22"/>
  <c r="B107" i="22"/>
  <c r="A107" i="22"/>
  <c r="CB106" i="22"/>
  <c r="CA106" i="22"/>
  <c r="BZ106" i="22"/>
  <c r="BY106" i="22"/>
  <c r="BX106" i="22"/>
  <c r="BW106" i="22"/>
  <c r="BV106" i="22"/>
  <c r="BU106" i="22"/>
  <c r="BT106" i="22"/>
  <c r="BS106" i="22"/>
  <c r="BR106" i="22"/>
  <c r="BQ106" i="22"/>
  <c r="BP106" i="22"/>
  <c r="BO106" i="22"/>
  <c r="BN106" i="22"/>
  <c r="BM106" i="22"/>
  <c r="BL106" i="22"/>
  <c r="BK106" i="22"/>
  <c r="BJ106" i="22"/>
  <c r="BI106" i="22"/>
  <c r="BH106" i="22"/>
  <c r="BG106" i="22"/>
  <c r="BF106" i="22"/>
  <c r="BE106" i="22"/>
  <c r="BD106" i="22"/>
  <c r="BC106" i="22"/>
  <c r="BB106" i="22"/>
  <c r="BA106" i="22"/>
  <c r="AZ106" i="22"/>
  <c r="AY106" i="22"/>
  <c r="AX106" i="22"/>
  <c r="AW106" i="22"/>
  <c r="AV106" i="22"/>
  <c r="AU106" i="22"/>
  <c r="AT106" i="22"/>
  <c r="AS106" i="22"/>
  <c r="AR106" i="22"/>
  <c r="AQ106" i="22"/>
  <c r="AP106" i="22"/>
  <c r="AO106" i="22"/>
  <c r="AN106" i="22"/>
  <c r="AM106" i="22"/>
  <c r="AL106" i="22"/>
  <c r="AK106" i="22"/>
  <c r="AJ106" i="22"/>
  <c r="AI106" i="22"/>
  <c r="AH106" i="22"/>
  <c r="AG106" i="22"/>
  <c r="AF106" i="22"/>
  <c r="AE106" i="22"/>
  <c r="AD106" i="22"/>
  <c r="AC106" i="22"/>
  <c r="AB106" i="22"/>
  <c r="AA106" i="22"/>
  <c r="Z106" i="22"/>
  <c r="Y106" i="22"/>
  <c r="X106" i="22"/>
  <c r="W106" i="22"/>
  <c r="V106" i="22"/>
  <c r="U106" i="22"/>
  <c r="T106" i="22"/>
  <c r="S106" i="22"/>
  <c r="R106" i="22"/>
  <c r="Q106" i="22"/>
  <c r="P106" i="22"/>
  <c r="O106" i="22"/>
  <c r="N106" i="22"/>
  <c r="M106" i="22"/>
  <c r="L106" i="22"/>
  <c r="K106" i="22"/>
  <c r="J106" i="22"/>
  <c r="I106" i="22"/>
  <c r="H106" i="22"/>
  <c r="G106" i="22"/>
  <c r="F106" i="22"/>
  <c r="E106" i="22"/>
  <c r="D106" i="22"/>
  <c r="C106" i="22"/>
  <c r="B106" i="22"/>
  <c r="A106" i="22"/>
  <c r="CB105" i="22"/>
  <c r="CA105" i="22"/>
  <c r="BZ105" i="22"/>
  <c r="BY105" i="22"/>
  <c r="BX105" i="22"/>
  <c r="BW105" i="22"/>
  <c r="BV105" i="22"/>
  <c r="BU105" i="22"/>
  <c r="BT105" i="22"/>
  <c r="BS105" i="22"/>
  <c r="BR105" i="22"/>
  <c r="BQ105" i="22"/>
  <c r="BP105" i="22"/>
  <c r="BO105" i="22"/>
  <c r="BN105" i="22"/>
  <c r="BM105" i="22"/>
  <c r="BL105" i="22"/>
  <c r="BK105" i="22"/>
  <c r="BJ105" i="22"/>
  <c r="BI105" i="22"/>
  <c r="BH105" i="22"/>
  <c r="BG105" i="22"/>
  <c r="BF105" i="22"/>
  <c r="BE105" i="22"/>
  <c r="BD105" i="22"/>
  <c r="BC105" i="22"/>
  <c r="BB105" i="22"/>
  <c r="BA105" i="22"/>
  <c r="AZ105" i="22"/>
  <c r="AY105" i="22"/>
  <c r="AX105" i="22"/>
  <c r="AW105" i="22"/>
  <c r="AV105" i="22"/>
  <c r="AU105" i="22"/>
  <c r="AT105" i="22"/>
  <c r="AS105" i="22"/>
  <c r="AR105" i="22"/>
  <c r="AQ105" i="22"/>
  <c r="AP105" i="22"/>
  <c r="AO105" i="22"/>
  <c r="AN105" i="22"/>
  <c r="AM105" i="22"/>
  <c r="AL105" i="22"/>
  <c r="AK105" i="22"/>
  <c r="AJ105" i="22"/>
  <c r="AI105" i="22"/>
  <c r="AH105" i="22"/>
  <c r="AG105" i="22"/>
  <c r="AF105" i="22"/>
  <c r="AE105" i="22"/>
  <c r="AD105" i="22"/>
  <c r="AC105" i="22"/>
  <c r="AB105" i="22"/>
  <c r="AA105" i="22"/>
  <c r="Z105" i="22"/>
  <c r="Y105" i="22"/>
  <c r="X105" i="22"/>
  <c r="W105" i="22"/>
  <c r="V105" i="22"/>
  <c r="U105" i="22"/>
  <c r="T105" i="22"/>
  <c r="S105" i="22"/>
  <c r="R105" i="22"/>
  <c r="Q105" i="22"/>
  <c r="P105" i="22"/>
  <c r="O105" i="22"/>
  <c r="N105" i="22"/>
  <c r="M105" i="22"/>
  <c r="L105" i="22"/>
  <c r="K105" i="22"/>
  <c r="J105" i="22"/>
  <c r="I105" i="22"/>
  <c r="H105" i="22"/>
  <c r="G105" i="22"/>
  <c r="F105" i="22"/>
  <c r="E105" i="22"/>
  <c r="D105" i="22"/>
  <c r="C105" i="22"/>
  <c r="B105" i="22"/>
  <c r="A105" i="22"/>
  <c r="G598" i="22" s="1"/>
  <c r="CB104" i="22"/>
  <c r="CA104" i="22"/>
  <c r="BZ104" i="22"/>
  <c r="BY104" i="22"/>
  <c r="BX104" i="22"/>
  <c r="BW104" i="22"/>
  <c r="BV104" i="22"/>
  <c r="BU104" i="22"/>
  <c r="BT104" i="22"/>
  <c r="BS104" i="22"/>
  <c r="BR104" i="22"/>
  <c r="BQ104" i="22"/>
  <c r="BP104" i="22"/>
  <c r="BO104" i="22"/>
  <c r="BN104" i="22"/>
  <c r="BM104" i="22"/>
  <c r="BL104" i="22"/>
  <c r="BK104" i="22"/>
  <c r="BJ104" i="22"/>
  <c r="BI104" i="22"/>
  <c r="BH104" i="22"/>
  <c r="BG104" i="22"/>
  <c r="BF104" i="22"/>
  <c r="BE104" i="22"/>
  <c r="BD104" i="22"/>
  <c r="BC104" i="22"/>
  <c r="BB104" i="22"/>
  <c r="BA104" i="22"/>
  <c r="AZ104" i="22"/>
  <c r="AY104" i="22"/>
  <c r="AX104" i="22"/>
  <c r="AW104" i="22"/>
  <c r="AV104" i="22"/>
  <c r="AU104" i="22"/>
  <c r="AT104" i="22"/>
  <c r="AS104" i="22"/>
  <c r="AR104" i="22"/>
  <c r="AQ104" i="22"/>
  <c r="AP104" i="22"/>
  <c r="AO104" i="22"/>
  <c r="AN104" i="22"/>
  <c r="AM104" i="22"/>
  <c r="AL104" i="22"/>
  <c r="AK104" i="22"/>
  <c r="AJ104" i="22"/>
  <c r="AI104" i="22"/>
  <c r="AH104" i="22"/>
  <c r="AG104" i="22"/>
  <c r="AF104" i="22"/>
  <c r="AE104" i="22"/>
  <c r="AD104" i="22"/>
  <c r="AC104" i="22"/>
  <c r="AB104" i="22"/>
  <c r="AA104" i="22"/>
  <c r="Z104" i="22"/>
  <c r="Y104" i="22"/>
  <c r="X104" i="22"/>
  <c r="W104" i="22"/>
  <c r="V104" i="22"/>
  <c r="U104" i="22"/>
  <c r="T104" i="22"/>
  <c r="S104" i="22"/>
  <c r="R104" i="22"/>
  <c r="Q104" i="22"/>
  <c r="P104" i="22"/>
  <c r="O104" i="22"/>
  <c r="N104" i="22"/>
  <c r="M104" i="22"/>
  <c r="L104" i="22"/>
  <c r="K104" i="22"/>
  <c r="J104" i="22"/>
  <c r="I104" i="22"/>
  <c r="H104" i="22"/>
  <c r="G104" i="22"/>
  <c r="F104" i="22"/>
  <c r="E104" i="22"/>
  <c r="D104" i="22"/>
  <c r="C104" i="22"/>
  <c r="B104" i="22"/>
  <c r="A104" i="22"/>
  <c r="G597" i="22" s="1"/>
  <c r="CB103" i="22"/>
  <c r="CA103" i="22"/>
  <c r="BZ103" i="22"/>
  <c r="BY103" i="22"/>
  <c r="BX103" i="22"/>
  <c r="BW103" i="22"/>
  <c r="BV103" i="22"/>
  <c r="BU103" i="22"/>
  <c r="BT103" i="22"/>
  <c r="BS103" i="22"/>
  <c r="BR103" i="22"/>
  <c r="BQ103" i="22"/>
  <c r="BP103" i="22"/>
  <c r="BO103" i="22"/>
  <c r="BN103" i="22"/>
  <c r="BM103" i="22"/>
  <c r="BL103" i="22"/>
  <c r="BK103" i="22"/>
  <c r="BJ103" i="22"/>
  <c r="BI103" i="22"/>
  <c r="BH103" i="22"/>
  <c r="BG103" i="22"/>
  <c r="BF103" i="22"/>
  <c r="BE103" i="22"/>
  <c r="BD103" i="22"/>
  <c r="BC103" i="22"/>
  <c r="BB103" i="22"/>
  <c r="BA103" i="22"/>
  <c r="AZ103" i="22"/>
  <c r="AY103" i="22"/>
  <c r="AX103" i="22"/>
  <c r="AW103" i="22"/>
  <c r="AV103" i="22"/>
  <c r="AU103" i="22"/>
  <c r="AT103" i="22"/>
  <c r="AS103" i="22"/>
  <c r="AR103" i="22"/>
  <c r="AQ103" i="22"/>
  <c r="AP103" i="22"/>
  <c r="AO103" i="22"/>
  <c r="AN103" i="22"/>
  <c r="AM103" i="22"/>
  <c r="AL103" i="22"/>
  <c r="AK103" i="22"/>
  <c r="AJ103" i="22"/>
  <c r="AI103" i="22"/>
  <c r="AH103" i="22"/>
  <c r="AG103" i="22"/>
  <c r="AF103" i="22"/>
  <c r="AE103" i="22"/>
  <c r="AD103" i="22"/>
  <c r="AC103" i="22"/>
  <c r="AB103" i="22"/>
  <c r="AA103" i="22"/>
  <c r="Z103" i="22"/>
  <c r="Y103" i="22"/>
  <c r="X103" i="22"/>
  <c r="W103" i="22"/>
  <c r="V103" i="22"/>
  <c r="U103" i="22"/>
  <c r="T103" i="22"/>
  <c r="S103" i="22"/>
  <c r="R103" i="22"/>
  <c r="Q103" i="22"/>
  <c r="P103" i="22"/>
  <c r="O103" i="22"/>
  <c r="N103" i="22"/>
  <c r="M103" i="22"/>
  <c r="L103" i="22"/>
  <c r="K103" i="22"/>
  <c r="J103" i="22"/>
  <c r="I103" i="22"/>
  <c r="H103" i="22"/>
  <c r="G103" i="22"/>
  <c r="F103" i="22"/>
  <c r="E103" i="22"/>
  <c r="D103" i="22"/>
  <c r="C103" i="22"/>
  <c r="B103" i="22"/>
  <c r="A103" i="22"/>
  <c r="CB102" i="22"/>
  <c r="CA102" i="22"/>
  <c r="BZ102" i="22"/>
  <c r="BY102" i="22"/>
  <c r="BX102" i="22"/>
  <c r="BW102" i="22"/>
  <c r="BV102" i="22"/>
  <c r="BU102" i="22"/>
  <c r="BT102" i="22"/>
  <c r="BS102" i="22"/>
  <c r="BR102" i="22"/>
  <c r="BQ102" i="22"/>
  <c r="BP102" i="22"/>
  <c r="BO102" i="22"/>
  <c r="BN102" i="22"/>
  <c r="BM102" i="22"/>
  <c r="BL102" i="22"/>
  <c r="BK102" i="22"/>
  <c r="BJ102" i="22"/>
  <c r="BI102" i="22"/>
  <c r="BH102" i="22"/>
  <c r="BG102" i="22"/>
  <c r="BF102" i="22"/>
  <c r="BE102" i="22"/>
  <c r="BD102" i="22"/>
  <c r="BC102" i="22"/>
  <c r="BB102" i="22"/>
  <c r="BA102" i="22"/>
  <c r="AZ102" i="22"/>
  <c r="AY102" i="22"/>
  <c r="AX102" i="22"/>
  <c r="AW102" i="22"/>
  <c r="AV102" i="22"/>
  <c r="AU102" i="22"/>
  <c r="AT102" i="22"/>
  <c r="AS102" i="22"/>
  <c r="AR102" i="22"/>
  <c r="AQ102" i="22"/>
  <c r="AP102" i="22"/>
  <c r="AO102" i="22"/>
  <c r="AN102" i="22"/>
  <c r="AM102" i="22"/>
  <c r="AL102" i="22"/>
  <c r="AK102" i="22"/>
  <c r="AJ102" i="22"/>
  <c r="AI102" i="22"/>
  <c r="AH102" i="22"/>
  <c r="AG102" i="22"/>
  <c r="AF102" i="22"/>
  <c r="AE102" i="22"/>
  <c r="AD102" i="22"/>
  <c r="AC102" i="22"/>
  <c r="AB102" i="22"/>
  <c r="AA102" i="22"/>
  <c r="Z102" i="22"/>
  <c r="Y102" i="22"/>
  <c r="X102" i="22"/>
  <c r="W102" i="22"/>
  <c r="V102" i="22"/>
  <c r="U102" i="22"/>
  <c r="T102" i="22"/>
  <c r="S102" i="22"/>
  <c r="R102" i="22"/>
  <c r="Q102" i="22"/>
  <c r="P102" i="22"/>
  <c r="O102" i="22"/>
  <c r="N102" i="22"/>
  <c r="M102" i="22"/>
  <c r="L102" i="22"/>
  <c r="K102" i="22"/>
  <c r="J102" i="22"/>
  <c r="I102" i="22"/>
  <c r="H102" i="22"/>
  <c r="G102" i="22"/>
  <c r="F102" i="22"/>
  <c r="E102" i="22"/>
  <c r="D102" i="22"/>
  <c r="C102" i="22"/>
  <c r="B102" i="22"/>
  <c r="A102" i="22"/>
  <c r="CB101" i="22"/>
  <c r="CA101" i="22"/>
  <c r="BZ101" i="22"/>
  <c r="BY101" i="22"/>
  <c r="BX101" i="22"/>
  <c r="BW101" i="22"/>
  <c r="BV101" i="22"/>
  <c r="BU101" i="22"/>
  <c r="BT101" i="22"/>
  <c r="BS101" i="22"/>
  <c r="BR101" i="22"/>
  <c r="BQ101" i="22"/>
  <c r="BP101" i="22"/>
  <c r="BO101" i="22"/>
  <c r="BN101" i="22"/>
  <c r="BM101" i="22"/>
  <c r="BL101" i="22"/>
  <c r="BK101" i="22"/>
  <c r="BJ101" i="22"/>
  <c r="BI101" i="22"/>
  <c r="BH101" i="22"/>
  <c r="BG101" i="22"/>
  <c r="BF101" i="22"/>
  <c r="BE101" i="22"/>
  <c r="BD101" i="22"/>
  <c r="BC101" i="22"/>
  <c r="BB101" i="22"/>
  <c r="BA101" i="22"/>
  <c r="AZ101" i="22"/>
  <c r="AY101" i="22"/>
  <c r="AX101" i="22"/>
  <c r="AW101" i="22"/>
  <c r="AV101" i="22"/>
  <c r="AU101" i="22"/>
  <c r="AT101" i="22"/>
  <c r="AS101" i="22"/>
  <c r="AR101" i="22"/>
  <c r="AQ101" i="22"/>
  <c r="AP101" i="22"/>
  <c r="AO101" i="22"/>
  <c r="AN101" i="22"/>
  <c r="AM101" i="22"/>
  <c r="AL101" i="22"/>
  <c r="AK101" i="22"/>
  <c r="AJ101" i="22"/>
  <c r="AI101" i="22"/>
  <c r="AH101" i="22"/>
  <c r="AG101" i="22"/>
  <c r="AF101" i="22"/>
  <c r="AE101" i="22"/>
  <c r="AD101" i="22"/>
  <c r="AC101" i="22"/>
  <c r="AB101" i="22"/>
  <c r="AA101" i="22"/>
  <c r="Z101" i="22"/>
  <c r="Y101" i="22"/>
  <c r="X101" i="22"/>
  <c r="W101" i="22"/>
  <c r="V101" i="22"/>
  <c r="U101" i="22"/>
  <c r="T101" i="22"/>
  <c r="S101" i="22"/>
  <c r="R101" i="22"/>
  <c r="Q101" i="22"/>
  <c r="P101" i="22"/>
  <c r="O101" i="22"/>
  <c r="N101" i="22"/>
  <c r="M101" i="22"/>
  <c r="L101" i="22"/>
  <c r="K101" i="22"/>
  <c r="J101" i="22"/>
  <c r="I101" i="22"/>
  <c r="H101" i="22"/>
  <c r="G101" i="22"/>
  <c r="F101" i="22"/>
  <c r="E101" i="22"/>
  <c r="D101" i="22"/>
  <c r="C101" i="22"/>
  <c r="B101" i="22"/>
  <c r="A101" i="22"/>
  <c r="G594" i="22" s="1"/>
  <c r="CB100" i="22"/>
  <c r="CA100" i="22"/>
  <c r="BZ100" i="22"/>
  <c r="BY100" i="22"/>
  <c r="BX100" i="22"/>
  <c r="BW100" i="22"/>
  <c r="BV100" i="22"/>
  <c r="BU100" i="22"/>
  <c r="BT100" i="22"/>
  <c r="BS100" i="22"/>
  <c r="BR100" i="22"/>
  <c r="BQ100" i="22"/>
  <c r="AJ140" i="22"/>
  <c r="BO100" i="22"/>
  <c r="BN100" i="22"/>
  <c r="BM100" i="22"/>
  <c r="BL100" i="22"/>
  <c r="BK100" i="22"/>
  <c r="BJ100" i="22"/>
  <c r="BI100" i="22"/>
  <c r="BH100" i="22"/>
  <c r="BG100" i="22"/>
  <c r="BF100" i="22"/>
  <c r="BE100" i="22"/>
  <c r="BD100" i="22"/>
  <c r="BC100" i="22"/>
  <c r="BB100" i="22"/>
  <c r="BA100" i="22"/>
  <c r="AZ100" i="22"/>
  <c r="AY100" i="22"/>
  <c r="AX100" i="22"/>
  <c r="AW100" i="22"/>
  <c r="AV100" i="22"/>
  <c r="AU100" i="22"/>
  <c r="AT100" i="22"/>
  <c r="AS100" i="22"/>
  <c r="AR100" i="22"/>
  <c r="AQ100" i="22"/>
  <c r="AP100" i="22"/>
  <c r="AO100" i="22"/>
  <c r="AN100" i="22"/>
  <c r="AM100" i="22"/>
  <c r="AL100" i="22"/>
  <c r="AK100" i="22"/>
  <c r="AJ100" i="22"/>
  <c r="AH140" i="22"/>
  <c r="AH100" i="22"/>
  <c r="AG100" i="22"/>
  <c r="AF100" i="22"/>
  <c r="AE100" i="22"/>
  <c r="AD100" i="22"/>
  <c r="AC100" i="22"/>
  <c r="AB100" i="22"/>
  <c r="AA100" i="22"/>
  <c r="Z100" i="22"/>
  <c r="Y100" i="22"/>
  <c r="X100" i="22"/>
  <c r="W100" i="22"/>
  <c r="V100" i="22"/>
  <c r="U100" i="22"/>
  <c r="T100" i="22"/>
  <c r="S100" i="22"/>
  <c r="R100" i="22"/>
  <c r="Q100" i="22"/>
  <c r="P100" i="22"/>
  <c r="O100" i="22"/>
  <c r="N100" i="22"/>
  <c r="M100" i="22"/>
  <c r="L100" i="22"/>
  <c r="K100" i="22"/>
  <c r="J100" i="22"/>
  <c r="I100" i="22"/>
  <c r="H100" i="22"/>
  <c r="G100" i="22"/>
  <c r="F100" i="22"/>
  <c r="E100" i="22"/>
  <c r="D100" i="22"/>
  <c r="C100" i="22"/>
  <c r="B100" i="22"/>
  <c r="A100" i="22"/>
  <c r="CB99" i="22"/>
  <c r="CA99" i="22"/>
  <c r="BZ99" i="22"/>
  <c r="BY99" i="22"/>
  <c r="BX99" i="22"/>
  <c r="BW99" i="22"/>
  <c r="BV99" i="22"/>
  <c r="BU99" i="22"/>
  <c r="BT99" i="22"/>
  <c r="BS99" i="22"/>
  <c r="BR99" i="22"/>
  <c r="BQ99" i="22"/>
  <c r="BP99" i="22"/>
  <c r="BO99" i="22"/>
  <c r="BN99" i="22"/>
  <c r="BM99" i="22"/>
  <c r="BL99" i="22"/>
  <c r="BK99" i="22"/>
  <c r="BJ99" i="22"/>
  <c r="BI99" i="22"/>
  <c r="BH99" i="22"/>
  <c r="BG99" i="22"/>
  <c r="BF99" i="22"/>
  <c r="BE99" i="22"/>
  <c r="BD99" i="22"/>
  <c r="BC99" i="22"/>
  <c r="BB99" i="22"/>
  <c r="BA99" i="22"/>
  <c r="AZ99" i="22"/>
  <c r="AY99" i="22"/>
  <c r="AX99" i="22"/>
  <c r="AW99" i="22"/>
  <c r="AV99" i="22"/>
  <c r="AU99" i="22"/>
  <c r="AT99" i="22"/>
  <c r="AS99" i="22"/>
  <c r="AR99" i="22"/>
  <c r="AQ99" i="22"/>
  <c r="AP99" i="22"/>
  <c r="AO99" i="22"/>
  <c r="AN99" i="22"/>
  <c r="AM99" i="22"/>
  <c r="AL99" i="22"/>
  <c r="AK99" i="22"/>
  <c r="AJ99" i="22"/>
  <c r="AI99" i="22"/>
  <c r="AH99" i="22"/>
  <c r="AG99" i="22"/>
  <c r="AF99" i="22"/>
  <c r="AE99" i="22"/>
  <c r="AD99" i="22"/>
  <c r="AC99" i="22"/>
  <c r="AB99" i="22"/>
  <c r="AA99" i="22"/>
  <c r="Z99" i="22"/>
  <c r="Y99" i="22"/>
  <c r="X99" i="22"/>
  <c r="W99" i="22"/>
  <c r="V99" i="22"/>
  <c r="U99" i="22"/>
  <c r="T99" i="22"/>
  <c r="S99" i="22"/>
  <c r="R99" i="22"/>
  <c r="Q99" i="22"/>
  <c r="P99" i="22"/>
  <c r="O99" i="22"/>
  <c r="N99" i="22"/>
  <c r="M99" i="22"/>
  <c r="L99" i="22"/>
  <c r="K99" i="22"/>
  <c r="J99" i="22"/>
  <c r="I99" i="22"/>
  <c r="H99" i="22"/>
  <c r="G99" i="22"/>
  <c r="F99" i="22"/>
  <c r="E99" i="22"/>
  <c r="D99" i="22"/>
  <c r="C99" i="22"/>
  <c r="B99" i="22"/>
  <c r="A99" i="22"/>
  <c r="CB98" i="22"/>
  <c r="CA98" i="22"/>
  <c r="BZ98" i="22"/>
  <c r="BY98" i="22"/>
  <c r="BX98" i="22"/>
  <c r="BW98" i="22"/>
  <c r="BV98" i="22"/>
  <c r="BU98" i="22"/>
  <c r="BT98" i="22"/>
  <c r="BS98" i="22"/>
  <c r="BR98" i="22"/>
  <c r="BQ98" i="22"/>
  <c r="BP98" i="22"/>
  <c r="BO98" i="22"/>
  <c r="BN98" i="22"/>
  <c r="BM98" i="22"/>
  <c r="BL98" i="22"/>
  <c r="BK98" i="22"/>
  <c r="BJ98" i="22"/>
  <c r="BI98" i="22"/>
  <c r="BH98" i="22"/>
  <c r="BG98" i="22"/>
  <c r="BF98" i="22"/>
  <c r="BE98" i="22"/>
  <c r="BD98" i="22"/>
  <c r="BC98" i="22"/>
  <c r="BB98" i="22"/>
  <c r="BA98" i="22"/>
  <c r="AZ98" i="22"/>
  <c r="AY98" i="22"/>
  <c r="AX98" i="22"/>
  <c r="AW98" i="22"/>
  <c r="AV98" i="22"/>
  <c r="AU98" i="22"/>
  <c r="AT98" i="22"/>
  <c r="AS98" i="22"/>
  <c r="AR98" i="22"/>
  <c r="AQ98" i="22"/>
  <c r="AP98" i="22"/>
  <c r="AO98" i="22"/>
  <c r="AN98" i="22"/>
  <c r="AM98" i="22"/>
  <c r="AL98" i="22"/>
  <c r="AK98" i="22"/>
  <c r="AJ98" i="22"/>
  <c r="AI98" i="22"/>
  <c r="AH98" i="22"/>
  <c r="AG98" i="22"/>
  <c r="AF98" i="22"/>
  <c r="AE98" i="22"/>
  <c r="AD98" i="22"/>
  <c r="AC98" i="22"/>
  <c r="AB98" i="22"/>
  <c r="AA98" i="22"/>
  <c r="Z98" i="22"/>
  <c r="Y98" i="22"/>
  <c r="X98" i="22"/>
  <c r="W98" i="22"/>
  <c r="V98" i="22"/>
  <c r="U98" i="22"/>
  <c r="T98" i="22"/>
  <c r="S98" i="22"/>
  <c r="R98" i="22"/>
  <c r="Q98" i="22"/>
  <c r="P98" i="22"/>
  <c r="O98" i="22"/>
  <c r="N98" i="22"/>
  <c r="M98" i="22"/>
  <c r="L98" i="22"/>
  <c r="K98" i="22"/>
  <c r="J98" i="22"/>
  <c r="I98" i="22"/>
  <c r="H98" i="22"/>
  <c r="G98" i="22"/>
  <c r="F98" i="22"/>
  <c r="E98" i="22"/>
  <c r="D98" i="22"/>
  <c r="C98" i="22"/>
  <c r="B98" i="22"/>
  <c r="A98" i="22"/>
  <c r="CB97" i="22"/>
  <c r="CA97" i="22"/>
  <c r="BZ97" i="22"/>
  <c r="BY97" i="22"/>
  <c r="BX97" i="22"/>
  <c r="BW97" i="22"/>
  <c r="BV97" i="22"/>
  <c r="BU97" i="22"/>
  <c r="BT97" i="22"/>
  <c r="BS97" i="22"/>
  <c r="BR97" i="22"/>
  <c r="BQ97" i="22"/>
  <c r="BP97" i="22"/>
  <c r="BO97" i="22"/>
  <c r="BN97" i="22"/>
  <c r="BM97" i="22"/>
  <c r="BL97" i="22"/>
  <c r="BK97" i="22"/>
  <c r="BJ97" i="22"/>
  <c r="BI97" i="22"/>
  <c r="BH97" i="22"/>
  <c r="BG97" i="22"/>
  <c r="BF97" i="22"/>
  <c r="BE97" i="22"/>
  <c r="BD97" i="22"/>
  <c r="BC97" i="22"/>
  <c r="BB97" i="22"/>
  <c r="BA97" i="22"/>
  <c r="AZ97" i="22"/>
  <c r="AY97" i="22"/>
  <c r="AX97" i="22"/>
  <c r="AW97" i="22"/>
  <c r="AV97" i="22"/>
  <c r="AU97" i="22"/>
  <c r="AT97" i="22"/>
  <c r="AS97" i="22"/>
  <c r="AR97" i="22"/>
  <c r="AQ97" i="22"/>
  <c r="AP97" i="22"/>
  <c r="AO97" i="22"/>
  <c r="AN97" i="22"/>
  <c r="AM97" i="22"/>
  <c r="AL97" i="22"/>
  <c r="AK97" i="22"/>
  <c r="AJ97" i="22"/>
  <c r="AI97" i="22"/>
  <c r="AH97" i="22"/>
  <c r="AG97" i="22"/>
  <c r="AF97" i="22"/>
  <c r="AE97" i="22"/>
  <c r="AD97" i="22"/>
  <c r="AC97" i="22"/>
  <c r="AB97" i="22"/>
  <c r="AA97" i="22"/>
  <c r="Z97" i="22"/>
  <c r="Y97" i="22"/>
  <c r="X97" i="22"/>
  <c r="W97" i="22"/>
  <c r="V97" i="22"/>
  <c r="U97" i="22"/>
  <c r="T97" i="22"/>
  <c r="S97" i="22"/>
  <c r="R97" i="22"/>
  <c r="Q97" i="22"/>
  <c r="P97" i="22"/>
  <c r="O97" i="22"/>
  <c r="N97" i="22"/>
  <c r="M97" i="22"/>
  <c r="L97" i="22"/>
  <c r="K97" i="22"/>
  <c r="J97" i="22"/>
  <c r="I97" i="22"/>
  <c r="H97" i="22"/>
  <c r="G97" i="22"/>
  <c r="F97" i="22"/>
  <c r="E97" i="22"/>
  <c r="D97" i="22"/>
  <c r="C97" i="22"/>
  <c r="B97" i="22"/>
  <c r="A97" i="22"/>
  <c r="G590" i="22" s="1"/>
  <c r="CB96" i="22"/>
  <c r="CA96" i="22"/>
  <c r="BZ96" i="22"/>
  <c r="BY96" i="22"/>
  <c r="BX96" i="22"/>
  <c r="BW96" i="22"/>
  <c r="BV96" i="22"/>
  <c r="BU96" i="22"/>
  <c r="BT96" i="22"/>
  <c r="BS96" i="22"/>
  <c r="BR96" i="22"/>
  <c r="BQ96" i="22"/>
  <c r="BP96" i="22"/>
  <c r="BO96" i="22"/>
  <c r="BN96" i="22"/>
  <c r="BM96" i="22"/>
  <c r="BL96" i="22"/>
  <c r="BK96" i="22"/>
  <c r="BJ96" i="22"/>
  <c r="BI96" i="22"/>
  <c r="BH96" i="22"/>
  <c r="BG96" i="22"/>
  <c r="BF96" i="22"/>
  <c r="BE96" i="22"/>
  <c r="BD96" i="22"/>
  <c r="BC96" i="22"/>
  <c r="BB96" i="22"/>
  <c r="BA96" i="22"/>
  <c r="AZ96" i="22"/>
  <c r="AY96" i="22"/>
  <c r="AX96" i="22"/>
  <c r="AW96" i="22"/>
  <c r="AV96" i="22"/>
  <c r="AU96" i="22"/>
  <c r="AT96" i="22"/>
  <c r="AS96" i="22"/>
  <c r="AR96" i="22"/>
  <c r="AQ96" i="22"/>
  <c r="AP96" i="22"/>
  <c r="AO96" i="22"/>
  <c r="AN96" i="22"/>
  <c r="AM96" i="22"/>
  <c r="AL96" i="22"/>
  <c r="AK96" i="22"/>
  <c r="AJ96" i="22"/>
  <c r="AI96" i="22"/>
  <c r="AH96" i="22"/>
  <c r="AG96" i="22"/>
  <c r="AF96" i="22"/>
  <c r="AE96" i="22"/>
  <c r="AD96" i="22"/>
  <c r="AC96" i="22"/>
  <c r="AB96" i="22"/>
  <c r="AA96" i="22"/>
  <c r="Z96" i="22"/>
  <c r="Y96" i="22"/>
  <c r="X96" i="22"/>
  <c r="W96" i="22"/>
  <c r="V96" i="22"/>
  <c r="U96" i="22"/>
  <c r="T96" i="22"/>
  <c r="S96" i="22"/>
  <c r="R96" i="22"/>
  <c r="Q96" i="22"/>
  <c r="P96" i="22"/>
  <c r="O96" i="22"/>
  <c r="N96" i="22"/>
  <c r="M96" i="22"/>
  <c r="L96" i="22"/>
  <c r="K96" i="22"/>
  <c r="J96" i="22"/>
  <c r="I96" i="22"/>
  <c r="H96" i="22"/>
  <c r="G96" i="22"/>
  <c r="F96" i="22"/>
  <c r="E96" i="22"/>
  <c r="D96" i="22"/>
  <c r="C96" i="22"/>
  <c r="B96" i="22"/>
  <c r="A96" i="22"/>
  <c r="G589" i="22" s="1"/>
  <c r="CB95" i="22"/>
  <c r="CA95" i="22"/>
  <c r="BZ95" i="22"/>
  <c r="BY95" i="22"/>
  <c r="BX95" i="22"/>
  <c r="BW95" i="22"/>
  <c r="BV95" i="22"/>
  <c r="BU95" i="22"/>
  <c r="BT95" i="22"/>
  <c r="BS95" i="22"/>
  <c r="BR95" i="22"/>
  <c r="BQ95" i="22"/>
  <c r="BP95" i="22"/>
  <c r="BO95" i="22"/>
  <c r="BN95" i="22"/>
  <c r="BM95" i="22"/>
  <c r="BL95" i="22"/>
  <c r="BK95" i="22"/>
  <c r="BJ95" i="22"/>
  <c r="BI95" i="22"/>
  <c r="BH95" i="22"/>
  <c r="BG95" i="22"/>
  <c r="BF95" i="22"/>
  <c r="BE95" i="22"/>
  <c r="BD95" i="22"/>
  <c r="BC95" i="22"/>
  <c r="BB95" i="22"/>
  <c r="BA95" i="22"/>
  <c r="AZ95" i="22"/>
  <c r="AY95" i="22"/>
  <c r="AX95" i="22"/>
  <c r="AW95" i="22"/>
  <c r="AV95" i="22"/>
  <c r="AU95" i="22"/>
  <c r="AT95" i="22"/>
  <c r="AS95" i="22"/>
  <c r="AR95" i="22"/>
  <c r="AQ95" i="22"/>
  <c r="AP95" i="22"/>
  <c r="AO95" i="22"/>
  <c r="AN95" i="22"/>
  <c r="AM95" i="22"/>
  <c r="AL95" i="22"/>
  <c r="AK95" i="22"/>
  <c r="AJ95" i="22"/>
  <c r="AI95" i="22"/>
  <c r="AH95" i="22"/>
  <c r="AG95" i="22"/>
  <c r="AF95" i="22"/>
  <c r="AE95" i="22"/>
  <c r="AD95" i="22"/>
  <c r="AC95" i="22"/>
  <c r="AB95" i="22"/>
  <c r="AA95" i="22"/>
  <c r="Z95" i="22"/>
  <c r="Y95" i="22"/>
  <c r="X95" i="22"/>
  <c r="W95" i="22"/>
  <c r="V95" i="22"/>
  <c r="U95" i="22"/>
  <c r="T95" i="22"/>
  <c r="S95" i="22"/>
  <c r="R95" i="22"/>
  <c r="Q95" i="22"/>
  <c r="P95" i="22"/>
  <c r="O95" i="22"/>
  <c r="N95" i="22"/>
  <c r="M95" i="22"/>
  <c r="L95" i="22"/>
  <c r="K95" i="22"/>
  <c r="J95" i="22"/>
  <c r="I95" i="22"/>
  <c r="H95" i="22"/>
  <c r="G95" i="22"/>
  <c r="F95" i="22"/>
  <c r="E95" i="22"/>
  <c r="D95" i="22"/>
  <c r="C95" i="22"/>
  <c r="B95" i="22"/>
  <c r="A95" i="22"/>
  <c r="G588" i="22" s="1"/>
  <c r="CB94" i="22"/>
  <c r="CA94" i="22"/>
  <c r="BZ94" i="22"/>
  <c r="BY94" i="22"/>
  <c r="BX94" i="22"/>
  <c r="BW94" i="22"/>
  <c r="BV94" i="22"/>
  <c r="BU94" i="22"/>
  <c r="BT94" i="22"/>
  <c r="BS94" i="22"/>
  <c r="BR94" i="22"/>
  <c r="BQ94" i="22"/>
  <c r="BP94" i="22"/>
  <c r="BO94" i="22"/>
  <c r="BN94" i="22"/>
  <c r="BM94" i="22"/>
  <c r="BL94" i="22"/>
  <c r="BK94" i="22"/>
  <c r="BJ94" i="22"/>
  <c r="BI94" i="22"/>
  <c r="BH94" i="22"/>
  <c r="BG94" i="22"/>
  <c r="BF94" i="22"/>
  <c r="BE94" i="22"/>
  <c r="BD94" i="22"/>
  <c r="BC94" i="22"/>
  <c r="BB94" i="22"/>
  <c r="BA94" i="22"/>
  <c r="AZ94" i="22"/>
  <c r="AY94" i="22"/>
  <c r="AX94" i="22"/>
  <c r="AW94" i="22"/>
  <c r="AV94" i="22"/>
  <c r="AU94" i="22"/>
  <c r="AT94" i="22"/>
  <c r="AS94" i="22"/>
  <c r="AR94" i="22"/>
  <c r="AQ94" i="22"/>
  <c r="AP94" i="22"/>
  <c r="AO94" i="22"/>
  <c r="AN94" i="22"/>
  <c r="AM94" i="22"/>
  <c r="AL94" i="22"/>
  <c r="AK94" i="22"/>
  <c r="AJ94" i="22"/>
  <c r="AI94" i="22"/>
  <c r="AH94" i="22"/>
  <c r="AG94" i="22"/>
  <c r="AF94" i="22"/>
  <c r="AE94" i="22"/>
  <c r="AD94" i="22"/>
  <c r="AC94" i="22"/>
  <c r="AB94" i="22"/>
  <c r="AA94" i="22"/>
  <c r="Z94" i="22"/>
  <c r="Y94" i="22"/>
  <c r="X94" i="22"/>
  <c r="W94" i="22"/>
  <c r="V94" i="22"/>
  <c r="U94" i="22"/>
  <c r="T94" i="22"/>
  <c r="S94" i="22"/>
  <c r="R94" i="22"/>
  <c r="Q94" i="22"/>
  <c r="P94" i="22"/>
  <c r="O94" i="22"/>
  <c r="N94" i="22"/>
  <c r="M94" i="22"/>
  <c r="L94" i="22"/>
  <c r="K94" i="22"/>
  <c r="J94" i="22"/>
  <c r="I94" i="22"/>
  <c r="H94" i="22"/>
  <c r="G94" i="22"/>
  <c r="F94" i="22"/>
  <c r="E94" i="22"/>
  <c r="D94" i="22"/>
  <c r="C94" i="22"/>
  <c r="B94" i="22"/>
  <c r="A94" i="22"/>
  <c r="G587" i="22" s="1"/>
  <c r="CB93" i="22"/>
  <c r="CA93" i="22"/>
  <c r="BZ93" i="22"/>
  <c r="BY93" i="22"/>
  <c r="BX93" i="22"/>
  <c r="BW93" i="22"/>
  <c r="BV93" i="22"/>
  <c r="BU93" i="22"/>
  <c r="BT93" i="22"/>
  <c r="BS93" i="22"/>
  <c r="BR93" i="22"/>
  <c r="BQ93" i="22"/>
  <c r="BP93" i="22"/>
  <c r="BO93" i="22"/>
  <c r="BN93" i="22"/>
  <c r="BM93" i="22"/>
  <c r="BL93" i="22"/>
  <c r="BK93" i="22"/>
  <c r="BJ93" i="22"/>
  <c r="BI93" i="22"/>
  <c r="BH93" i="22"/>
  <c r="BG93" i="22"/>
  <c r="BF93" i="22"/>
  <c r="BE93" i="22"/>
  <c r="BD93" i="22"/>
  <c r="BC93" i="22"/>
  <c r="BB93" i="22"/>
  <c r="BA93" i="22"/>
  <c r="AZ93" i="22"/>
  <c r="AY93" i="22"/>
  <c r="AX93" i="22"/>
  <c r="AW93" i="22"/>
  <c r="AV93" i="22"/>
  <c r="AU93" i="22"/>
  <c r="AT93" i="22"/>
  <c r="AS93" i="22"/>
  <c r="AR93" i="22"/>
  <c r="AQ93" i="22"/>
  <c r="AP93" i="22"/>
  <c r="AO93" i="22"/>
  <c r="AN93" i="22"/>
  <c r="AM93" i="22"/>
  <c r="AL93" i="22"/>
  <c r="AK93" i="22"/>
  <c r="AJ93" i="22"/>
  <c r="AI93" i="22"/>
  <c r="AH93" i="22"/>
  <c r="AG93" i="22"/>
  <c r="AF93" i="22"/>
  <c r="AE93" i="22"/>
  <c r="AD93" i="22"/>
  <c r="AC93" i="22"/>
  <c r="AB93" i="22"/>
  <c r="AA93" i="22"/>
  <c r="Z93" i="22"/>
  <c r="Y93" i="22"/>
  <c r="X93" i="22"/>
  <c r="W93" i="22"/>
  <c r="V93" i="22"/>
  <c r="U93" i="22"/>
  <c r="T93" i="22"/>
  <c r="S93" i="22"/>
  <c r="R93" i="22"/>
  <c r="Q93" i="22"/>
  <c r="P93" i="22"/>
  <c r="O93" i="22"/>
  <c r="N93" i="22"/>
  <c r="M93" i="22"/>
  <c r="L93" i="22"/>
  <c r="K93" i="22"/>
  <c r="J93" i="22"/>
  <c r="I93" i="22"/>
  <c r="H93" i="22"/>
  <c r="G93" i="22"/>
  <c r="F93" i="22"/>
  <c r="E93" i="22"/>
  <c r="D93" i="22"/>
  <c r="C93" i="22"/>
  <c r="B93" i="22"/>
  <c r="BK141" i="22"/>
  <c r="G142" i="22"/>
  <c r="P142" i="22"/>
  <c r="R142" i="22"/>
  <c r="V142" i="22"/>
  <c r="X142" i="22"/>
  <c r="AC142" i="22"/>
  <c r="AD142" i="22"/>
  <c r="AR142" i="22"/>
  <c r="BB142" i="22"/>
  <c r="BM142" i="22"/>
  <c r="BO142" i="22"/>
  <c r="G143" i="22"/>
  <c r="H143" i="22"/>
  <c r="BC143" i="22"/>
  <c r="BM143" i="22"/>
  <c r="CA143" i="22"/>
  <c r="B144" i="22"/>
  <c r="D144" i="22"/>
  <c r="E144" i="22"/>
  <c r="G144" i="22"/>
  <c r="I144" i="22"/>
  <c r="M144" i="22"/>
  <c r="AA144" i="22"/>
  <c r="AI144" i="22"/>
  <c r="AK144" i="22"/>
  <c r="BE144" i="22"/>
  <c r="BG144" i="22"/>
  <c r="BM144" i="22"/>
  <c r="I145" i="22"/>
  <c r="K145" i="22"/>
  <c r="T145" i="22"/>
  <c r="J146" i="22"/>
  <c r="Y146" i="22"/>
  <c r="BR146" i="22"/>
  <c r="BT146" i="22"/>
  <c r="I147" i="22"/>
  <c r="K147" i="22"/>
  <c r="X147" i="22"/>
  <c r="AF147" i="22"/>
  <c r="BD147" i="22"/>
  <c r="BI147" i="22"/>
  <c r="BP147" i="22"/>
  <c r="CA147" i="22"/>
  <c r="W148" i="22"/>
  <c r="Y148" i="22"/>
  <c r="AB148" i="22"/>
  <c r="AM148" i="22"/>
  <c r="AR148" i="22"/>
  <c r="BF148" i="22"/>
  <c r="BY148" i="22"/>
  <c r="A149" i="22"/>
  <c r="I149" i="22"/>
  <c r="P149" i="22"/>
  <c r="T149" i="22"/>
  <c r="U149" i="22"/>
  <c r="AF149" i="22"/>
  <c r="AK149" i="22"/>
  <c r="AN149" i="22"/>
  <c r="BB149" i="22"/>
  <c r="BD149" i="22"/>
  <c r="BG149" i="22"/>
  <c r="BI149" i="22"/>
  <c r="T150" i="22"/>
  <c r="Z150" i="22"/>
  <c r="AH150" i="22"/>
  <c r="AJ150" i="22"/>
  <c r="BY150" i="22"/>
  <c r="F151" i="22"/>
  <c r="J151" i="22"/>
  <c r="BL151" i="22"/>
  <c r="BM151" i="22"/>
  <c r="BN151" i="22"/>
  <c r="BP151" i="22"/>
  <c r="E152" i="22"/>
  <c r="Q152" i="22"/>
  <c r="S152" i="22"/>
  <c r="AM152" i="22"/>
  <c r="AS152" i="22"/>
  <c r="BH152" i="22"/>
  <c r="C153" i="22"/>
  <c r="H153" i="22"/>
  <c r="M153" i="22"/>
  <c r="N153" i="22"/>
  <c r="P153" i="22"/>
  <c r="Q153" i="22"/>
  <c r="U153" i="22"/>
  <c r="V153" i="22"/>
  <c r="AC153" i="22"/>
  <c r="AR153" i="22"/>
  <c r="AT153" i="22"/>
  <c r="AU153" i="22"/>
  <c r="AX153" i="22"/>
  <c r="AZ153" i="22"/>
  <c r="BC153" i="22"/>
  <c r="D154" i="22"/>
  <c r="I154" i="22"/>
  <c r="AG154" i="22"/>
  <c r="AI154" i="22"/>
  <c r="AL154" i="22"/>
  <c r="AM154" i="22"/>
  <c r="BB154" i="22"/>
  <c r="BF154" i="22"/>
  <c r="BU154" i="22"/>
  <c r="BV154" i="22"/>
  <c r="BW154" i="22"/>
  <c r="M155" i="22"/>
  <c r="P155" i="22"/>
  <c r="Y155" i="22"/>
  <c r="AH155" i="22"/>
  <c r="AL155" i="22"/>
  <c r="AU155" i="22"/>
  <c r="BN155" i="22"/>
  <c r="BW155" i="22"/>
  <c r="BZ155" i="22"/>
  <c r="E156" i="22"/>
  <c r="P156" i="22"/>
  <c r="Q156" i="22"/>
  <c r="X156" i="22"/>
  <c r="Z156" i="22"/>
  <c r="AG156" i="22"/>
  <c r="AH156" i="22"/>
  <c r="AQ156" i="22"/>
  <c r="BM156" i="22"/>
  <c r="BX156" i="22"/>
  <c r="CA156" i="22"/>
  <c r="N157" i="22"/>
  <c r="Q157" i="22"/>
  <c r="AD157" i="22"/>
  <c r="AF157" i="22"/>
  <c r="AG157" i="22"/>
  <c r="AT157" i="22"/>
  <c r="AY157" i="22"/>
  <c r="BA157" i="22"/>
  <c r="BH157" i="22"/>
  <c r="BI157" i="22"/>
  <c r="BN157" i="22"/>
  <c r="BP157" i="22"/>
  <c r="E158" i="22"/>
  <c r="F158" i="22"/>
  <c r="T158" i="22"/>
  <c r="V158" i="22"/>
  <c r="AC158" i="22"/>
  <c r="AV158" i="22"/>
  <c r="BR158" i="22"/>
  <c r="BX158" i="22"/>
  <c r="BZ158" i="22"/>
  <c r="E159" i="22"/>
  <c r="H159" i="22"/>
  <c r="AD159" i="22"/>
  <c r="AH159" i="22"/>
  <c r="AJ159" i="22"/>
  <c r="AT159" i="22"/>
  <c r="BB159" i="22"/>
  <c r="BC159" i="22"/>
  <c r="BD159" i="22"/>
  <c r="BK159" i="22"/>
  <c r="BN159" i="22"/>
  <c r="B160" i="22"/>
  <c r="Q160" i="22"/>
  <c r="AB160" i="22"/>
  <c r="AE160" i="22"/>
  <c r="AP160" i="22"/>
  <c r="AR160" i="22"/>
  <c r="BD160" i="22"/>
  <c r="BL160" i="22"/>
  <c r="A161" i="22"/>
  <c r="E161" i="22"/>
  <c r="G161" i="22"/>
  <c r="O161" i="22"/>
  <c r="Q161" i="22"/>
  <c r="U161" i="22"/>
  <c r="V161" i="22"/>
  <c r="AB161" i="22"/>
  <c r="AC161" i="22"/>
  <c r="AF161" i="22"/>
  <c r="AK161" i="22"/>
  <c r="AM161" i="22"/>
  <c r="AY161" i="22"/>
  <c r="BM161" i="22"/>
  <c r="BU161" i="22"/>
  <c r="C162" i="22"/>
  <c r="D162" i="22"/>
  <c r="I162" i="22"/>
  <c r="M162" i="22"/>
  <c r="R162" i="22"/>
  <c r="U162" i="22"/>
  <c r="AC162" i="22"/>
  <c r="AD162" i="22"/>
  <c r="AQ162" i="22"/>
  <c r="AR162" i="22"/>
  <c r="AT162" i="22"/>
  <c r="AV162" i="22"/>
  <c r="AY162" i="22"/>
  <c r="BM162" i="22"/>
  <c r="CB162" i="22"/>
  <c r="A163" i="22"/>
  <c r="B163" i="22"/>
  <c r="C163" i="22"/>
  <c r="D163" i="22"/>
  <c r="E163" i="22"/>
  <c r="F163" i="22"/>
  <c r="G163" i="22"/>
  <c r="H163" i="22"/>
  <c r="I163" i="22"/>
  <c r="J163" i="22"/>
  <c r="K163" i="22"/>
  <c r="L163" i="22"/>
  <c r="M163" i="22"/>
  <c r="N163" i="22"/>
  <c r="O163" i="22"/>
  <c r="P163" i="22"/>
  <c r="Q163" i="22"/>
  <c r="R163" i="22"/>
  <c r="S163" i="22"/>
  <c r="T163" i="22"/>
  <c r="U163" i="22"/>
  <c r="V163" i="22"/>
  <c r="W163" i="22"/>
  <c r="X163" i="22"/>
  <c r="Y163" i="22"/>
  <c r="Z163" i="22"/>
  <c r="AA163" i="22"/>
  <c r="AB163" i="22"/>
  <c r="AC163" i="22"/>
  <c r="AD163" i="22"/>
  <c r="AE163" i="22"/>
  <c r="AF163" i="22"/>
  <c r="AG163" i="22"/>
  <c r="AH163" i="22"/>
  <c r="AI163" i="22"/>
  <c r="AJ163" i="22"/>
  <c r="AK163" i="22"/>
  <c r="AL163" i="22"/>
  <c r="AM163" i="22"/>
  <c r="AN163" i="22"/>
  <c r="AO163" i="22"/>
  <c r="AP163" i="22"/>
  <c r="AQ163" i="22"/>
  <c r="AR163" i="22"/>
  <c r="AS163" i="22"/>
  <c r="AT163" i="22"/>
  <c r="AU163" i="22"/>
  <c r="AV163" i="22"/>
  <c r="AW163" i="22"/>
  <c r="AX163" i="22"/>
  <c r="AY163" i="22"/>
  <c r="AZ163" i="22"/>
  <c r="BA163" i="22"/>
  <c r="BB163" i="22"/>
  <c r="BC163" i="22"/>
  <c r="BD163" i="22"/>
  <c r="BE163" i="22"/>
  <c r="BF163" i="22"/>
  <c r="BG163" i="22"/>
  <c r="BH163" i="22"/>
  <c r="BI163" i="22"/>
  <c r="BJ163" i="22"/>
  <c r="BK163" i="22"/>
  <c r="BL163" i="22"/>
  <c r="BM163" i="22"/>
  <c r="BN163" i="22"/>
  <c r="BO163" i="22"/>
  <c r="BP163" i="22"/>
  <c r="BQ163" i="22"/>
  <c r="BR163" i="22"/>
  <c r="BS163" i="22"/>
  <c r="BT163" i="22"/>
  <c r="BU163" i="22"/>
  <c r="BV163" i="22"/>
  <c r="BW163" i="22"/>
  <c r="BX163" i="22"/>
  <c r="BY163" i="22"/>
  <c r="BZ163" i="22"/>
  <c r="CA163" i="22"/>
  <c r="CB163" i="22"/>
  <c r="A164" i="22"/>
  <c r="B164" i="22"/>
  <c r="C164" i="22"/>
  <c r="D164" i="22"/>
  <c r="E164" i="22"/>
  <c r="F164" i="22"/>
  <c r="G164" i="22"/>
  <c r="H164" i="22"/>
  <c r="I164" i="22"/>
  <c r="J164" i="22"/>
  <c r="K164" i="22"/>
  <c r="L164" i="22"/>
  <c r="M164" i="22"/>
  <c r="N164" i="22"/>
  <c r="O164" i="22"/>
  <c r="P164" i="22"/>
  <c r="Q164" i="22"/>
  <c r="R164" i="22"/>
  <c r="S164" i="22"/>
  <c r="T164" i="22"/>
  <c r="U164" i="22"/>
  <c r="V164" i="22"/>
  <c r="W164" i="22"/>
  <c r="X164" i="22"/>
  <c r="Y164" i="22"/>
  <c r="Z164" i="22"/>
  <c r="AA164" i="22"/>
  <c r="AB164" i="22"/>
  <c r="AC164" i="22"/>
  <c r="AD164" i="22"/>
  <c r="AE164" i="22"/>
  <c r="AF164" i="22"/>
  <c r="AG164" i="22"/>
  <c r="AH164" i="22"/>
  <c r="AI164" i="22"/>
  <c r="AJ164" i="22"/>
  <c r="AK164" i="22"/>
  <c r="AL164" i="22"/>
  <c r="AM164" i="22"/>
  <c r="AN164" i="22"/>
  <c r="AO164" i="22"/>
  <c r="AP164" i="22"/>
  <c r="AQ164" i="22"/>
  <c r="AR164" i="22"/>
  <c r="AS164" i="22"/>
  <c r="AT164" i="22"/>
  <c r="AU164" i="22"/>
  <c r="AV164" i="22"/>
  <c r="AW164" i="22"/>
  <c r="AX164" i="22"/>
  <c r="AY164" i="22"/>
  <c r="AZ164" i="22"/>
  <c r="BA164" i="22"/>
  <c r="BB164" i="22"/>
  <c r="BC164" i="22"/>
  <c r="BD164" i="22"/>
  <c r="BE164" i="22"/>
  <c r="BF164" i="22"/>
  <c r="BG164" i="22"/>
  <c r="BH164" i="22"/>
  <c r="BI164" i="22"/>
  <c r="BJ164" i="22"/>
  <c r="BK164" i="22"/>
  <c r="BL164" i="22"/>
  <c r="BM164" i="22"/>
  <c r="BN164" i="22"/>
  <c r="BO164" i="22"/>
  <c r="BP164" i="22"/>
  <c r="BQ164" i="22"/>
  <c r="BR164" i="22"/>
  <c r="BS164" i="22"/>
  <c r="BT164" i="22"/>
  <c r="BU164" i="22"/>
  <c r="BV164" i="22"/>
  <c r="BW164" i="22"/>
  <c r="BX164" i="22"/>
  <c r="BY164" i="22"/>
  <c r="BZ164" i="22"/>
  <c r="CA164" i="22"/>
  <c r="CB164" i="22"/>
  <c r="A165" i="22"/>
  <c r="B165" i="22"/>
  <c r="C165" i="22"/>
  <c r="D165" i="22"/>
  <c r="E165" i="22"/>
  <c r="F165" i="22"/>
  <c r="G165" i="22"/>
  <c r="H165" i="22"/>
  <c r="I165" i="22"/>
  <c r="J165" i="22"/>
  <c r="K165" i="22"/>
  <c r="L165" i="22"/>
  <c r="M165" i="22"/>
  <c r="N165" i="22"/>
  <c r="O165" i="22"/>
  <c r="P165" i="22"/>
  <c r="Q165" i="22"/>
  <c r="R165" i="22"/>
  <c r="S165" i="22"/>
  <c r="T165" i="22"/>
  <c r="U165" i="22"/>
  <c r="V165" i="22"/>
  <c r="W165" i="22"/>
  <c r="X165" i="22"/>
  <c r="Y165" i="22"/>
  <c r="Z165" i="22"/>
  <c r="AA165" i="22"/>
  <c r="AB165" i="22"/>
  <c r="AC165" i="22"/>
  <c r="AD165" i="22"/>
  <c r="AE165" i="22"/>
  <c r="AF165" i="22"/>
  <c r="AG165" i="22"/>
  <c r="AH165" i="22"/>
  <c r="AI165" i="22"/>
  <c r="AJ165" i="22"/>
  <c r="AK165" i="22"/>
  <c r="AL165" i="22"/>
  <c r="AM165" i="22"/>
  <c r="AN165" i="22"/>
  <c r="AO165" i="22"/>
  <c r="AP165" i="22"/>
  <c r="AQ165" i="22"/>
  <c r="AR165" i="22"/>
  <c r="AS165" i="22"/>
  <c r="AT165" i="22"/>
  <c r="AU165" i="22"/>
  <c r="AV165" i="22"/>
  <c r="AW165" i="22"/>
  <c r="AX165" i="22"/>
  <c r="AY165" i="22"/>
  <c r="AZ165" i="22"/>
  <c r="BA165" i="22"/>
  <c r="BB165" i="22"/>
  <c r="BC165" i="22"/>
  <c r="BD165" i="22"/>
  <c r="BE165" i="22"/>
  <c r="BF165" i="22"/>
  <c r="BG165" i="22"/>
  <c r="BH165" i="22"/>
  <c r="BI165" i="22"/>
  <c r="BJ165" i="22"/>
  <c r="BK165" i="22"/>
  <c r="BL165" i="22"/>
  <c r="BM165" i="22"/>
  <c r="BN165" i="22"/>
  <c r="BO165" i="22"/>
  <c r="BP165" i="22"/>
  <c r="BQ165" i="22"/>
  <c r="BR165" i="22"/>
  <c r="BS165" i="22"/>
  <c r="BT165" i="22"/>
  <c r="BU165" i="22"/>
  <c r="BV165" i="22"/>
  <c r="BW165" i="22"/>
  <c r="BX165" i="22"/>
  <c r="BY165" i="22"/>
  <c r="BZ165" i="22"/>
  <c r="CA165" i="22"/>
  <c r="CB165" i="22"/>
  <c r="A166" i="22"/>
  <c r="B166" i="22"/>
  <c r="C166" i="22"/>
  <c r="D166" i="22"/>
  <c r="E166" i="22"/>
  <c r="F166" i="22"/>
  <c r="G166" i="22"/>
  <c r="H166" i="22"/>
  <c r="I166" i="22"/>
  <c r="J166" i="22"/>
  <c r="K166" i="22"/>
  <c r="L166" i="22"/>
  <c r="M166" i="22"/>
  <c r="N166" i="22"/>
  <c r="O166" i="22"/>
  <c r="P166" i="22"/>
  <c r="Q166" i="22"/>
  <c r="R166" i="22"/>
  <c r="S166" i="22"/>
  <c r="T166" i="22"/>
  <c r="U166" i="22"/>
  <c r="V166" i="22"/>
  <c r="W166" i="22"/>
  <c r="X166" i="22"/>
  <c r="Y166" i="22"/>
  <c r="Z166" i="22"/>
  <c r="AA166" i="22"/>
  <c r="AB166" i="22"/>
  <c r="AC166" i="22"/>
  <c r="AD166" i="22"/>
  <c r="AE166" i="22"/>
  <c r="AF166" i="22"/>
  <c r="AG166" i="22"/>
  <c r="AH166" i="22"/>
  <c r="AI166" i="22"/>
  <c r="AJ166" i="22"/>
  <c r="AK166" i="22"/>
  <c r="AL166" i="22"/>
  <c r="AM166" i="22"/>
  <c r="AN166" i="22"/>
  <c r="AO166" i="22"/>
  <c r="AP166" i="22"/>
  <c r="AQ166" i="22"/>
  <c r="AR166" i="22"/>
  <c r="AS166" i="22"/>
  <c r="AT166" i="22"/>
  <c r="AU166" i="22"/>
  <c r="AV166" i="22"/>
  <c r="AW166" i="22"/>
  <c r="AX166" i="22"/>
  <c r="AY166" i="22"/>
  <c r="AZ166" i="22"/>
  <c r="BA166" i="22"/>
  <c r="BB166" i="22"/>
  <c r="BC166" i="22"/>
  <c r="BD166" i="22"/>
  <c r="BE166" i="22"/>
  <c r="BF166" i="22"/>
  <c r="BG166" i="22"/>
  <c r="BH166" i="22"/>
  <c r="BI166" i="22"/>
  <c r="BJ166" i="22"/>
  <c r="BK166" i="22"/>
  <c r="BL166" i="22"/>
  <c r="BM166" i="22"/>
  <c r="BN166" i="22"/>
  <c r="BO166" i="22"/>
  <c r="BP166" i="22"/>
  <c r="BQ166" i="22"/>
  <c r="BR166" i="22"/>
  <c r="BS166" i="22"/>
  <c r="BT166" i="22"/>
  <c r="BU166" i="22"/>
  <c r="BV166" i="22"/>
  <c r="BW166" i="22"/>
  <c r="BX166" i="22"/>
  <c r="BY166" i="22"/>
  <c r="BZ166" i="22"/>
  <c r="CA166" i="22"/>
  <c r="CB166" i="22"/>
  <c r="A167" i="22"/>
  <c r="B167" i="22"/>
  <c r="C167" i="22"/>
  <c r="D167" i="22"/>
  <c r="E167" i="22"/>
  <c r="F167" i="22"/>
  <c r="G167" i="22"/>
  <c r="H167" i="22"/>
  <c r="I167" i="22"/>
  <c r="J167" i="22"/>
  <c r="K167" i="22"/>
  <c r="L167" i="22"/>
  <c r="M167" i="22"/>
  <c r="N167" i="22"/>
  <c r="O167" i="22"/>
  <c r="P167" i="22"/>
  <c r="Q167" i="22"/>
  <c r="R167" i="22"/>
  <c r="S167" i="22"/>
  <c r="T167" i="22"/>
  <c r="U167" i="22"/>
  <c r="V167" i="22"/>
  <c r="W167" i="22"/>
  <c r="X167" i="22"/>
  <c r="Y167" i="22"/>
  <c r="Z167" i="22"/>
  <c r="AA167" i="22"/>
  <c r="AB167" i="22"/>
  <c r="AC167" i="22"/>
  <c r="AD167" i="22"/>
  <c r="AE167" i="22"/>
  <c r="AF167" i="22"/>
  <c r="AG167" i="22"/>
  <c r="AH167" i="22"/>
  <c r="AI167" i="22"/>
  <c r="AJ167" i="22"/>
  <c r="AK167" i="22"/>
  <c r="AL167" i="22"/>
  <c r="AM167" i="22"/>
  <c r="AN167" i="22"/>
  <c r="AO167" i="22"/>
  <c r="AP167" i="22"/>
  <c r="AQ167" i="22"/>
  <c r="AR167" i="22"/>
  <c r="AS167" i="22"/>
  <c r="AT167" i="22"/>
  <c r="AU167" i="22"/>
  <c r="AV167" i="22"/>
  <c r="AW167" i="22"/>
  <c r="AX167" i="22"/>
  <c r="AY167" i="22"/>
  <c r="AZ167" i="22"/>
  <c r="BA167" i="22"/>
  <c r="BB167" i="22"/>
  <c r="BC167" i="22"/>
  <c r="BD167" i="22"/>
  <c r="BE167" i="22"/>
  <c r="BF167" i="22"/>
  <c r="BG167" i="22"/>
  <c r="BH167" i="22"/>
  <c r="BI167" i="22"/>
  <c r="BJ167" i="22"/>
  <c r="BK167" i="22"/>
  <c r="BL167" i="22"/>
  <c r="BM167" i="22"/>
  <c r="BN167" i="22"/>
  <c r="BO167" i="22"/>
  <c r="BP167" i="22"/>
  <c r="BQ167" i="22"/>
  <c r="BR167" i="22"/>
  <c r="BS167" i="22"/>
  <c r="BT167" i="22"/>
  <c r="BU167" i="22"/>
  <c r="BV167" i="22"/>
  <c r="BW167" i="22"/>
  <c r="BX167" i="22"/>
  <c r="BY167" i="22"/>
  <c r="BZ167" i="22"/>
  <c r="CA167" i="22"/>
  <c r="CB167" i="22"/>
  <c r="A168" i="22"/>
  <c r="B168" i="22"/>
  <c r="C168" i="22"/>
  <c r="D168" i="22"/>
  <c r="E168" i="22"/>
  <c r="F168" i="22"/>
  <c r="G168" i="22"/>
  <c r="H168" i="22"/>
  <c r="I168" i="22"/>
  <c r="J168" i="22"/>
  <c r="K168" i="22"/>
  <c r="L168" i="22"/>
  <c r="M168" i="22"/>
  <c r="N168" i="22"/>
  <c r="O168" i="22"/>
  <c r="P168" i="22"/>
  <c r="Q168" i="22"/>
  <c r="R168" i="22"/>
  <c r="S168" i="22"/>
  <c r="T168" i="22"/>
  <c r="U168" i="22"/>
  <c r="V168" i="22"/>
  <c r="W168" i="22"/>
  <c r="X168" i="22"/>
  <c r="Y168" i="22"/>
  <c r="Z168" i="22"/>
  <c r="AA168" i="22"/>
  <c r="AB168" i="22"/>
  <c r="AC168" i="22"/>
  <c r="AD168" i="22"/>
  <c r="AE168" i="22"/>
  <c r="AF168" i="22"/>
  <c r="AG168" i="22"/>
  <c r="AH168" i="22"/>
  <c r="AI168" i="22"/>
  <c r="AJ168" i="22"/>
  <c r="AK168" i="22"/>
  <c r="AL168" i="22"/>
  <c r="AM168" i="22"/>
  <c r="AN168" i="22"/>
  <c r="AO168" i="22"/>
  <c r="AP168" i="22"/>
  <c r="AQ168" i="22"/>
  <c r="AR168" i="22"/>
  <c r="AS168" i="22"/>
  <c r="AT168" i="22"/>
  <c r="AU168" i="22"/>
  <c r="AV168" i="22"/>
  <c r="AW168" i="22"/>
  <c r="AX168" i="22"/>
  <c r="AY168" i="22"/>
  <c r="AZ168" i="22"/>
  <c r="BA168" i="22"/>
  <c r="BB168" i="22"/>
  <c r="BC168" i="22"/>
  <c r="BD168" i="22"/>
  <c r="BE168" i="22"/>
  <c r="BF168" i="22"/>
  <c r="BG168" i="22"/>
  <c r="BH168" i="22"/>
  <c r="BI168" i="22"/>
  <c r="BJ168" i="22"/>
  <c r="BK168" i="22"/>
  <c r="BL168" i="22"/>
  <c r="BM168" i="22"/>
  <c r="BN168" i="22"/>
  <c r="BO168" i="22"/>
  <c r="BP168" i="22"/>
  <c r="BQ168" i="22"/>
  <c r="BR168" i="22"/>
  <c r="BS168" i="22"/>
  <c r="BT168" i="22"/>
  <c r="BU168" i="22"/>
  <c r="BV168" i="22"/>
  <c r="BW168" i="22"/>
  <c r="BX168" i="22"/>
  <c r="BY168" i="22"/>
  <c r="BZ168" i="22"/>
  <c r="CA168" i="22"/>
  <c r="CB168" i="22"/>
  <c r="A169" i="22"/>
  <c r="B169" i="22"/>
  <c r="C169" i="22"/>
  <c r="D169" i="22"/>
  <c r="E169" i="22"/>
  <c r="F169" i="22"/>
  <c r="G169" i="22"/>
  <c r="H169" i="22"/>
  <c r="I169" i="22"/>
  <c r="J169" i="22"/>
  <c r="K169" i="22"/>
  <c r="L169" i="22"/>
  <c r="M169" i="22"/>
  <c r="N169" i="22"/>
  <c r="O169" i="22"/>
  <c r="P169" i="22"/>
  <c r="Q169" i="22"/>
  <c r="R169" i="22"/>
  <c r="S169" i="22"/>
  <c r="T169" i="22"/>
  <c r="U169" i="22"/>
  <c r="V169" i="22"/>
  <c r="W169" i="22"/>
  <c r="X169" i="22"/>
  <c r="Y169" i="22"/>
  <c r="Z169" i="22"/>
  <c r="AA169" i="22"/>
  <c r="AB169" i="22"/>
  <c r="AC169" i="22"/>
  <c r="AD169" i="22"/>
  <c r="AE169" i="22"/>
  <c r="AF169" i="22"/>
  <c r="AG169" i="22"/>
  <c r="AH169" i="22"/>
  <c r="AI169" i="22"/>
  <c r="AJ169" i="22"/>
  <c r="AK169" i="22"/>
  <c r="AL169" i="22"/>
  <c r="AM169" i="22"/>
  <c r="AN169" i="22"/>
  <c r="AO169" i="22"/>
  <c r="AP169" i="22"/>
  <c r="AQ169" i="22"/>
  <c r="AR169" i="22"/>
  <c r="AS169" i="22"/>
  <c r="AT169" i="22"/>
  <c r="AU169" i="22"/>
  <c r="AV169" i="22"/>
  <c r="AW169" i="22"/>
  <c r="AX169" i="22"/>
  <c r="AY169" i="22"/>
  <c r="AZ169" i="22"/>
  <c r="BA169" i="22"/>
  <c r="BB169" i="22"/>
  <c r="BC169" i="22"/>
  <c r="BD169" i="22"/>
  <c r="BE169" i="22"/>
  <c r="BF169" i="22"/>
  <c r="BG169" i="22"/>
  <c r="BH169" i="22"/>
  <c r="BI169" i="22"/>
  <c r="BJ169" i="22"/>
  <c r="BK169" i="22"/>
  <c r="BL169" i="22"/>
  <c r="BM169" i="22"/>
  <c r="BN169" i="22"/>
  <c r="BO169" i="22"/>
  <c r="BP169" i="22"/>
  <c r="BQ169" i="22"/>
  <c r="BR169" i="22"/>
  <c r="BS169" i="22"/>
  <c r="BT169" i="22"/>
  <c r="BU169" i="22"/>
  <c r="BV169" i="22"/>
  <c r="BW169" i="22"/>
  <c r="BX169" i="22"/>
  <c r="BY169" i="22"/>
  <c r="BZ169" i="22"/>
  <c r="CA169" i="22"/>
  <c r="CB169" i="22"/>
  <c r="A170" i="22"/>
  <c r="B170" i="22"/>
  <c r="C170" i="22"/>
  <c r="D170" i="22"/>
  <c r="E170" i="22"/>
  <c r="F170" i="22"/>
  <c r="G170" i="22"/>
  <c r="H170" i="22"/>
  <c r="I170" i="22"/>
  <c r="J170" i="22"/>
  <c r="K170" i="22"/>
  <c r="L170" i="22"/>
  <c r="M170" i="22"/>
  <c r="N170" i="22"/>
  <c r="O170" i="22"/>
  <c r="P170" i="22"/>
  <c r="Q170" i="22"/>
  <c r="R170" i="22"/>
  <c r="S170" i="22"/>
  <c r="T170" i="22"/>
  <c r="U170" i="22"/>
  <c r="V170" i="22"/>
  <c r="W170" i="22"/>
  <c r="X170" i="22"/>
  <c r="Y170" i="22"/>
  <c r="Z170" i="22"/>
  <c r="AA170" i="22"/>
  <c r="AB170" i="22"/>
  <c r="AC170" i="22"/>
  <c r="AD170" i="22"/>
  <c r="AE170" i="22"/>
  <c r="AF170" i="22"/>
  <c r="AG170" i="22"/>
  <c r="AH170" i="22"/>
  <c r="AI170" i="22"/>
  <c r="AJ170" i="22"/>
  <c r="AK170" i="22"/>
  <c r="AL170" i="22"/>
  <c r="AM170" i="22"/>
  <c r="AN170" i="22"/>
  <c r="AO170" i="22"/>
  <c r="AP170" i="22"/>
  <c r="AQ170" i="22"/>
  <c r="AR170" i="22"/>
  <c r="AS170" i="22"/>
  <c r="AT170" i="22"/>
  <c r="AU170" i="22"/>
  <c r="AV170" i="22"/>
  <c r="AW170" i="22"/>
  <c r="AX170" i="22"/>
  <c r="AY170" i="22"/>
  <c r="AZ170" i="22"/>
  <c r="BA170" i="22"/>
  <c r="BB170" i="22"/>
  <c r="BC170" i="22"/>
  <c r="BD170" i="22"/>
  <c r="BE170" i="22"/>
  <c r="BF170" i="22"/>
  <c r="BG170" i="22"/>
  <c r="BH170" i="22"/>
  <c r="BI170" i="22"/>
  <c r="AK140" i="22"/>
  <c r="BJ170" i="22"/>
  <c r="BK170" i="22"/>
  <c r="BL170" i="22"/>
  <c r="BM170" i="22"/>
  <c r="BN170" i="22"/>
  <c r="BO170" i="22"/>
  <c r="BP170" i="22"/>
  <c r="BQ170" i="22"/>
  <c r="BR170" i="22"/>
  <c r="BS170" i="22"/>
  <c r="BT170" i="22"/>
  <c r="BU170" i="22"/>
  <c r="BV170" i="22"/>
  <c r="BW170" i="22"/>
  <c r="BX170" i="22"/>
  <c r="BY170" i="22"/>
  <c r="BZ170" i="22"/>
  <c r="CA170" i="22"/>
  <c r="CB170" i="22"/>
  <c r="A171" i="22"/>
  <c r="B171" i="22"/>
  <c r="C171" i="22"/>
  <c r="D171" i="22"/>
  <c r="E171" i="22"/>
  <c r="F171" i="22"/>
  <c r="G171" i="22"/>
  <c r="H171" i="22"/>
  <c r="I171" i="22"/>
  <c r="J171" i="22"/>
  <c r="K171" i="22"/>
  <c r="L171" i="22"/>
  <c r="M171" i="22"/>
  <c r="N171" i="22"/>
  <c r="O171" i="22"/>
  <c r="P171" i="22"/>
  <c r="Q171" i="22"/>
  <c r="R171" i="22"/>
  <c r="S171" i="22"/>
  <c r="T171" i="22"/>
  <c r="U171" i="22"/>
  <c r="V171" i="22"/>
  <c r="W171" i="22"/>
  <c r="X171" i="22"/>
  <c r="Y171" i="22"/>
  <c r="Z171" i="22"/>
  <c r="AA171" i="22"/>
  <c r="AB171" i="22"/>
  <c r="AC171" i="22"/>
  <c r="AD171" i="22"/>
  <c r="AE171" i="22"/>
  <c r="AF171" i="22"/>
  <c r="AG171" i="22"/>
  <c r="AH171" i="22"/>
  <c r="AI171" i="22"/>
  <c r="AJ171" i="22"/>
  <c r="AK171" i="22"/>
  <c r="AL171" i="22"/>
  <c r="AM171" i="22"/>
  <c r="AN171" i="22"/>
  <c r="AO171" i="22"/>
  <c r="AP171" i="22"/>
  <c r="AQ171" i="22"/>
  <c r="AR171" i="22"/>
  <c r="AS171" i="22"/>
  <c r="AT171" i="22"/>
  <c r="AU171" i="22"/>
  <c r="AV171" i="22"/>
  <c r="AW171" i="22"/>
  <c r="AX171" i="22"/>
  <c r="AY171" i="22"/>
  <c r="AZ171" i="22"/>
  <c r="BA171" i="22"/>
  <c r="BB171" i="22"/>
  <c r="BC171" i="22"/>
  <c r="BD171" i="22"/>
  <c r="BE171" i="22"/>
  <c r="BF171" i="22"/>
  <c r="BG171" i="22"/>
  <c r="BH171" i="22"/>
  <c r="BI171" i="22"/>
  <c r="BJ171" i="22"/>
  <c r="BK171" i="22"/>
  <c r="BL171" i="22"/>
  <c r="BM171" i="22"/>
  <c r="BN171" i="22"/>
  <c r="BO171" i="22"/>
  <c r="BP171" i="22"/>
  <c r="BQ171" i="22"/>
  <c r="BR171" i="22"/>
  <c r="BS171" i="22"/>
  <c r="BT171" i="22"/>
  <c r="BU171" i="22"/>
  <c r="BV171" i="22"/>
  <c r="BW171" i="22"/>
  <c r="BX171" i="22"/>
  <c r="BY171" i="22"/>
  <c r="BZ171" i="22"/>
  <c r="CA171" i="22"/>
  <c r="CB171" i="22"/>
  <c r="A172" i="22"/>
  <c r="B172" i="22"/>
  <c r="C172" i="22"/>
  <c r="D172" i="22"/>
  <c r="E172" i="22"/>
  <c r="F172" i="22"/>
  <c r="G172" i="22"/>
  <c r="H172" i="22"/>
  <c r="I172" i="22"/>
  <c r="J172" i="22"/>
  <c r="K172" i="22"/>
  <c r="L172" i="22"/>
  <c r="M172" i="22"/>
  <c r="N172" i="22"/>
  <c r="O172" i="22"/>
  <c r="P172" i="22"/>
  <c r="Q172" i="22"/>
  <c r="R172" i="22"/>
  <c r="S172" i="22"/>
  <c r="T172" i="22"/>
  <c r="U172" i="22"/>
  <c r="V172" i="22"/>
  <c r="AL140" i="22"/>
  <c r="AM140" i="22"/>
  <c r="AN140" i="22"/>
  <c r="AO140" i="22"/>
  <c r="AP140" i="22"/>
  <c r="AQ140" i="22"/>
  <c r="AR140" i="22"/>
  <c r="AS140" i="22"/>
  <c r="AT140" i="22"/>
  <c r="AU140" i="22"/>
  <c r="W172" i="22"/>
  <c r="X172" i="22"/>
  <c r="Y172" i="22"/>
  <c r="Z172" i="22"/>
  <c r="AA172" i="22"/>
  <c r="AB172" i="22"/>
  <c r="AC172" i="22"/>
  <c r="AD172" i="22"/>
  <c r="AE172" i="22"/>
  <c r="AF172" i="22"/>
  <c r="AG172" i="22"/>
  <c r="AH172" i="22"/>
  <c r="AI172" i="22"/>
  <c r="AJ172" i="22"/>
  <c r="AK172" i="22"/>
  <c r="AL172" i="22"/>
  <c r="AM172" i="22"/>
  <c r="AN172" i="22"/>
  <c r="AO172" i="22"/>
  <c r="AP172" i="22"/>
  <c r="AQ172" i="22"/>
  <c r="AR172" i="22"/>
  <c r="AS172" i="22"/>
  <c r="AT172" i="22"/>
  <c r="AU172" i="22"/>
  <c r="AV172" i="22"/>
  <c r="AW172" i="22"/>
  <c r="AX172" i="22"/>
  <c r="AY172" i="22"/>
  <c r="AZ172" i="22"/>
  <c r="BA172" i="22"/>
  <c r="BB172" i="22"/>
  <c r="BC172" i="22"/>
  <c r="BD172" i="22"/>
  <c r="BE172" i="22"/>
  <c r="BF172" i="22"/>
  <c r="BG172" i="22"/>
  <c r="BH172" i="22"/>
  <c r="BI172" i="22"/>
  <c r="BJ172" i="22"/>
  <c r="BK172" i="22"/>
  <c r="BL172" i="22"/>
  <c r="BM172" i="22"/>
  <c r="BN172" i="22"/>
  <c r="BO172" i="22"/>
  <c r="BP172" i="22"/>
  <c r="BQ172" i="22"/>
  <c r="BR172" i="22"/>
  <c r="BS172" i="22"/>
  <c r="BT172" i="22"/>
  <c r="BU172" i="22"/>
  <c r="BV172" i="22"/>
  <c r="BW172" i="22"/>
  <c r="BX172" i="22"/>
  <c r="BY172" i="22"/>
  <c r="BZ172" i="22"/>
  <c r="CA172" i="22"/>
  <c r="CB172" i="22"/>
  <c r="G141" i="22"/>
  <c r="Q141" i="22"/>
  <c r="T141" i="22"/>
  <c r="AI141" i="22"/>
  <c r="AW141" i="22"/>
  <c r="BL141" i="22"/>
  <c r="F142" i="22"/>
  <c r="K142" i="22"/>
  <c r="N142" i="22"/>
  <c r="Q142" i="22"/>
  <c r="W142" i="22"/>
  <c r="AB142" i="22"/>
  <c r="AN142" i="22"/>
  <c r="AS142" i="22"/>
  <c r="BN142" i="22"/>
  <c r="D143" i="22"/>
  <c r="AL143" i="22"/>
  <c r="AM143" i="22"/>
  <c r="BB143" i="22"/>
  <c r="BV143" i="22"/>
  <c r="CB143" i="22"/>
  <c r="F144" i="22"/>
  <c r="H144" i="22"/>
  <c r="J144" i="22"/>
  <c r="L144" i="22"/>
  <c r="Z144" i="22"/>
  <c r="AH144" i="22"/>
  <c r="AJ144" i="22"/>
  <c r="AY144" i="22"/>
  <c r="BD144" i="22"/>
  <c r="BF144" i="22"/>
  <c r="BL144" i="22"/>
  <c r="BS144" i="22"/>
  <c r="BW144" i="22"/>
  <c r="BZ144" i="22"/>
  <c r="J145" i="22"/>
  <c r="U145" i="22"/>
  <c r="AV145" i="22"/>
  <c r="AX145" i="22"/>
  <c r="BF145" i="22"/>
  <c r="F146" i="22"/>
  <c r="K146" i="22"/>
  <c r="X146" i="22"/>
  <c r="AB146" i="22"/>
  <c r="AE146" i="22"/>
  <c r="AF146" i="22"/>
  <c r="AG146" i="22"/>
  <c r="BS146" i="22"/>
  <c r="BU146" i="22"/>
  <c r="BZ146" i="22"/>
  <c r="R147" i="22"/>
  <c r="T147" i="22"/>
  <c r="Y147" i="22"/>
  <c r="BC147" i="22"/>
  <c r="BG147" i="22"/>
  <c r="BN147" i="22"/>
  <c r="BO147" i="22"/>
  <c r="BQ147" i="22"/>
  <c r="BX147" i="22"/>
  <c r="BZ147" i="22"/>
  <c r="Q148" i="22"/>
  <c r="S148" i="22"/>
  <c r="X148" i="22"/>
  <c r="AC148" i="22"/>
  <c r="AF148" i="22"/>
  <c r="AN148" i="22"/>
  <c r="CB148" i="22"/>
  <c r="C149" i="22"/>
  <c r="V149" i="22"/>
  <c r="AJ149" i="22"/>
  <c r="AL149" i="22"/>
  <c r="AU149" i="22"/>
  <c r="BH149" i="22"/>
  <c r="AI150" i="22"/>
  <c r="AX150" i="22"/>
  <c r="BC150" i="22"/>
  <c r="BU150" i="22"/>
  <c r="E151" i="22"/>
  <c r="AM151" i="22"/>
  <c r="AU151" i="22"/>
  <c r="AV151" i="22"/>
  <c r="BO151" i="22"/>
  <c r="P152" i="22"/>
  <c r="R152" i="22"/>
  <c r="T152" i="22"/>
  <c r="Z152" i="22"/>
  <c r="AQ152" i="22"/>
  <c r="AR152" i="22"/>
  <c r="G153" i="22"/>
  <c r="I153" i="22"/>
  <c r="K153" i="22"/>
  <c r="AQ153" i="22"/>
  <c r="AS153" i="22"/>
  <c r="AV153" i="22"/>
  <c r="AW153" i="22"/>
  <c r="BG153" i="22"/>
  <c r="BK153" i="22"/>
  <c r="J154" i="22"/>
  <c r="AA154" i="22"/>
  <c r="AC154" i="22"/>
  <c r="AQ154" i="22"/>
  <c r="BA154" i="22"/>
  <c r="BG154" i="22"/>
  <c r="J155" i="22"/>
  <c r="K155" i="22"/>
  <c r="L155" i="22"/>
  <c r="R155" i="22"/>
  <c r="U155" i="22"/>
  <c r="X155" i="22"/>
  <c r="BA155" i="22"/>
  <c r="BO157" i="22"/>
  <c r="D158" i="22"/>
  <c r="K158" i="22"/>
  <c r="S158" i="22"/>
  <c r="U158" i="22"/>
  <c r="AB158" i="22"/>
  <c r="AG158" i="22"/>
  <c r="AI158" i="22"/>
  <c r="AL158" i="22"/>
  <c r="AN158" i="22"/>
  <c r="AS158" i="22"/>
  <c r="BK158" i="22"/>
  <c r="BU158" i="22"/>
  <c r="CA158" i="22"/>
  <c r="G159" i="22"/>
  <c r="I159" i="22"/>
  <c r="N159" i="22"/>
  <c r="Y159" i="22"/>
  <c r="AR159" i="22"/>
  <c r="AU159" i="22"/>
  <c r="BA159" i="22"/>
  <c r="BO159" i="22"/>
  <c r="A160" i="22"/>
  <c r="D160" i="22"/>
  <c r="P160" i="22"/>
  <c r="AA160" i="22"/>
  <c r="AD160" i="22"/>
  <c r="AM160" i="22"/>
  <c r="AN160" i="22"/>
  <c r="AO160" i="22"/>
  <c r="AQ160" i="22"/>
  <c r="AS160" i="22"/>
  <c r="AW160" i="22"/>
  <c r="BC160" i="22"/>
  <c r="BG160" i="22"/>
  <c r="BK160" i="22"/>
  <c r="BM160" i="22"/>
  <c r="BO160" i="22"/>
  <c r="BW160" i="22"/>
  <c r="BX160" i="22"/>
  <c r="BZ160" i="22"/>
  <c r="I161" i="22"/>
  <c r="P161" i="22"/>
  <c r="Y161" i="22"/>
  <c r="AG161" i="22"/>
  <c r="AS161" i="22"/>
  <c r="BA161" i="22"/>
  <c r="BQ161" i="22"/>
  <c r="E162" i="22"/>
  <c r="K162" i="22"/>
  <c r="P162" i="22"/>
  <c r="Q162" i="22"/>
  <c r="X162" i="22"/>
  <c r="Y162" i="22"/>
  <c r="AE162" i="22"/>
  <c r="AF162" i="22"/>
  <c r="AG162" i="22"/>
  <c r="AK162" i="22"/>
  <c r="AU162" i="22"/>
  <c r="BL162" i="22"/>
  <c r="BS162" i="22"/>
  <c r="CA162" i="22"/>
  <c r="A93" i="22"/>
  <c r="J141" i="22"/>
  <c r="K141" i="22"/>
  <c r="L141" i="22"/>
  <c r="U141" i="22"/>
  <c r="AA141" i="22"/>
  <c r="AB141" i="22"/>
  <c r="AD141" i="22"/>
  <c r="AG141" i="22"/>
  <c r="AJ141" i="22"/>
  <c r="AM141" i="22"/>
  <c r="AR141" i="22"/>
  <c r="AY141" i="22"/>
  <c r="AZ141" i="22"/>
  <c r="BO141" i="22"/>
  <c r="BP141" i="22"/>
  <c r="BQ141" i="22"/>
  <c r="BR141" i="22"/>
  <c r="BS141" i="22"/>
  <c r="BT141" i="22"/>
  <c r="BU141" i="22"/>
  <c r="BX141" i="22"/>
  <c r="CB141" i="22"/>
  <c r="A142" i="22"/>
  <c r="B142" i="22"/>
  <c r="C142" i="22"/>
  <c r="D142" i="22"/>
  <c r="U142" i="22"/>
  <c r="AM142" i="22"/>
  <c r="AQ142" i="22"/>
  <c r="AT142" i="22"/>
  <c r="BA142" i="22"/>
  <c r="BC142" i="22"/>
  <c r="BJ142" i="22"/>
  <c r="BL142" i="22"/>
  <c r="BP142" i="22"/>
  <c r="BQ142" i="22"/>
  <c r="BR142" i="22"/>
  <c r="BZ142" i="22"/>
  <c r="CA142" i="22"/>
  <c r="C143" i="22"/>
  <c r="E143" i="22"/>
  <c r="AA143" i="22"/>
  <c r="AB143" i="22"/>
  <c r="AC143" i="22"/>
  <c r="AO143" i="22"/>
  <c r="AP143" i="22"/>
  <c r="AQ143" i="22"/>
  <c r="AU143" i="22"/>
  <c r="BG143" i="22"/>
  <c r="BZ143" i="22"/>
  <c r="A144" i="22"/>
  <c r="S144" i="22"/>
  <c r="T144" i="22"/>
  <c r="AB144" i="22"/>
  <c r="AD144" i="22"/>
  <c r="AE144" i="22"/>
  <c r="AQ144" i="22"/>
  <c r="AZ144" i="22"/>
  <c r="BC144" i="22"/>
  <c r="BK144" i="22"/>
  <c r="BT144" i="22"/>
  <c r="L145" i="22"/>
  <c r="M145" i="22"/>
  <c r="N145" i="22"/>
  <c r="X145" i="22"/>
  <c r="Y145" i="22"/>
  <c r="AA145" i="22"/>
  <c r="AJ145" i="22"/>
  <c r="AK145" i="22"/>
  <c r="AL145" i="22"/>
  <c r="AM145" i="22"/>
  <c r="AN145" i="22"/>
  <c r="AO145" i="22"/>
  <c r="AU145" i="22"/>
  <c r="AW145" i="22"/>
  <c r="BC145" i="22"/>
  <c r="BG145" i="22"/>
  <c r="BH145" i="22"/>
  <c r="BI145" i="22"/>
  <c r="BQ145" i="22"/>
  <c r="BR145" i="22"/>
  <c r="BT145" i="22"/>
  <c r="M146" i="22"/>
  <c r="N146" i="22"/>
  <c r="O146" i="22"/>
  <c r="R146" i="22"/>
  <c r="S146" i="22"/>
  <c r="W146" i="22"/>
  <c r="Z146" i="22"/>
  <c r="AJ146" i="22"/>
  <c r="AK146" i="22"/>
  <c r="AM146" i="22"/>
  <c r="AW146" i="22"/>
  <c r="AZ146" i="22"/>
  <c r="BE146" i="22"/>
  <c r="BH146" i="22"/>
  <c r="BJ146" i="22"/>
  <c r="BP146" i="22"/>
  <c r="BY146" i="22"/>
  <c r="Z147" i="22"/>
  <c r="AA147" i="22"/>
  <c r="AJ147" i="22"/>
  <c r="AK147" i="22"/>
  <c r="AL147" i="22"/>
  <c r="AM147" i="22"/>
  <c r="AN147" i="22"/>
  <c r="AQ147" i="22"/>
  <c r="AR147" i="22"/>
  <c r="BE147" i="22"/>
  <c r="BF147" i="22"/>
  <c r="BJ147" i="22"/>
  <c r="BK147" i="22"/>
  <c r="BL147" i="22"/>
  <c r="BM147" i="22"/>
  <c r="BR147" i="22"/>
  <c r="BW147" i="22"/>
  <c r="D148" i="22"/>
  <c r="E148" i="22"/>
  <c r="F148" i="22"/>
  <c r="J148" i="22"/>
  <c r="K148" i="22"/>
  <c r="L148" i="22"/>
  <c r="M148" i="22"/>
  <c r="N148" i="22"/>
  <c r="R148" i="22"/>
  <c r="T148" i="22"/>
  <c r="U148" i="22"/>
  <c r="V148" i="22"/>
  <c r="AA148" i="22"/>
  <c r="AD148" i="22"/>
  <c r="AE148" i="22"/>
  <c r="AI148" i="22"/>
  <c r="AJ148" i="22"/>
  <c r="AK148" i="22"/>
  <c r="AL148" i="22"/>
  <c r="AP148" i="22"/>
  <c r="AS148" i="22"/>
  <c r="AV148" i="22"/>
  <c r="AW148" i="22"/>
  <c r="BC148" i="22"/>
  <c r="BD148" i="22"/>
  <c r="BH148" i="22"/>
  <c r="BK148" i="22"/>
  <c r="BL148" i="22"/>
  <c r="BM148" i="22"/>
  <c r="BN148" i="22"/>
  <c r="BO148" i="22"/>
  <c r="BP148" i="22"/>
  <c r="BQ148" i="22"/>
  <c r="BR148" i="22"/>
  <c r="BT148" i="22"/>
  <c r="BU148" i="22"/>
  <c r="BV148" i="22"/>
  <c r="D149" i="22"/>
  <c r="E149" i="22"/>
  <c r="H149" i="22"/>
  <c r="K149" i="22"/>
  <c r="L149" i="22"/>
  <c r="M149" i="22"/>
  <c r="O149" i="22"/>
  <c r="W149" i="22"/>
  <c r="Y149" i="22"/>
  <c r="Z149" i="22"/>
  <c r="AB149" i="22"/>
  <c r="AC149" i="22"/>
  <c r="AD149" i="22"/>
  <c r="AG149" i="22"/>
  <c r="AH149" i="22"/>
  <c r="AM149" i="22"/>
  <c r="AP149" i="22"/>
  <c r="AQ149" i="22"/>
  <c r="AR149" i="22"/>
  <c r="AS149" i="22"/>
  <c r="AT149" i="22"/>
  <c r="AZ149" i="22"/>
  <c r="BC149" i="22"/>
  <c r="BJ149" i="22"/>
  <c r="BN149" i="22"/>
  <c r="BP149" i="22"/>
  <c r="BW149" i="22"/>
  <c r="BX149" i="22"/>
  <c r="BY149" i="22"/>
  <c r="BZ149" i="22"/>
  <c r="CA149" i="22"/>
  <c r="CB149" i="22"/>
  <c r="A150" i="22"/>
  <c r="B150" i="22"/>
  <c r="C150" i="22"/>
  <c r="AM150" i="22"/>
  <c r="AN150" i="22"/>
  <c r="AO150" i="22"/>
  <c r="AP150" i="22"/>
  <c r="AR150" i="22"/>
  <c r="AU150" i="22"/>
  <c r="AV150" i="22"/>
  <c r="AW150" i="22"/>
  <c r="AZ150" i="22"/>
  <c r="BB150" i="22"/>
  <c r="BG150" i="22"/>
  <c r="BH150" i="22"/>
  <c r="BI150" i="22"/>
  <c r="BJ150" i="22"/>
  <c r="BK150" i="22"/>
  <c r="BL150" i="22"/>
  <c r="BM150" i="22"/>
  <c r="BN150" i="22"/>
  <c r="BO150" i="22"/>
  <c r="BP150" i="22"/>
  <c r="BQ150" i="22"/>
  <c r="BS150" i="22"/>
  <c r="BT150" i="22"/>
  <c r="BV150" i="22"/>
  <c r="K151" i="22"/>
  <c r="L151" i="22"/>
  <c r="X151" i="22"/>
  <c r="Z151" i="22"/>
  <c r="AA151" i="22"/>
  <c r="AC151" i="22"/>
  <c r="AG151" i="22"/>
  <c r="AL151" i="22"/>
  <c r="BD151" i="22"/>
  <c r="BF151" i="22"/>
  <c r="BH151" i="22"/>
  <c r="BQ151" i="22"/>
  <c r="BR151" i="22"/>
  <c r="BS151" i="22"/>
  <c r="BT151" i="22"/>
  <c r="L152" i="22"/>
  <c r="AE152" i="22"/>
  <c r="AF152" i="22"/>
  <c r="AX152" i="22"/>
  <c r="AY152" i="22"/>
  <c r="BI152" i="22"/>
  <c r="BJ152" i="22"/>
  <c r="BK152" i="22"/>
  <c r="BQ152" i="22"/>
  <c r="BR152" i="22"/>
  <c r="BS152" i="22"/>
  <c r="BT152" i="22"/>
  <c r="BU152" i="22"/>
  <c r="BV152" i="22"/>
  <c r="BW152" i="22"/>
  <c r="BX152" i="22"/>
  <c r="BY152" i="22"/>
  <c r="BZ152" i="22"/>
  <c r="A153" i="22"/>
  <c r="B153" i="22"/>
  <c r="E153" i="22"/>
  <c r="F153" i="22"/>
  <c r="L153" i="22"/>
  <c r="O153" i="22"/>
  <c r="AE153" i="22"/>
  <c r="AG153" i="22"/>
  <c r="AI153" i="22"/>
  <c r="AJ153" i="22"/>
  <c r="AK153" i="22"/>
  <c r="AL153" i="22"/>
  <c r="AM153" i="22"/>
  <c r="AN153" i="22"/>
  <c r="AO153" i="22"/>
  <c r="AP153" i="22"/>
  <c r="BL153" i="22"/>
  <c r="BM153" i="22"/>
  <c r="BN153" i="22"/>
  <c r="BO153" i="22"/>
  <c r="BV153" i="22"/>
  <c r="G154" i="22"/>
  <c r="H154" i="22"/>
  <c r="K154" i="22"/>
  <c r="T154" i="22"/>
  <c r="AV154" i="22"/>
  <c r="AX154" i="22"/>
  <c r="BH154" i="22"/>
  <c r="BP154" i="22"/>
  <c r="BQ154" i="22"/>
  <c r="V155" i="22"/>
  <c r="W155" i="22"/>
  <c r="Z155" i="22"/>
  <c r="AA155" i="22"/>
  <c r="AB155" i="22"/>
  <c r="AP155" i="22"/>
  <c r="AX155" i="22"/>
  <c r="BD155" i="22"/>
  <c r="BF155" i="22"/>
  <c r="BG155" i="22"/>
  <c r="BI155" i="22"/>
  <c r="BJ155" i="22"/>
  <c r="BS155" i="22"/>
  <c r="BX155" i="22"/>
  <c r="BY155" i="22"/>
  <c r="C156" i="22"/>
  <c r="K156" i="22"/>
  <c r="O156" i="22"/>
  <c r="U156" i="22"/>
  <c r="AI156" i="22"/>
  <c r="AJ156" i="22"/>
  <c r="AL156" i="22"/>
  <c r="AO156" i="22"/>
  <c r="AP156" i="22"/>
  <c r="AW156" i="22"/>
  <c r="AY156" i="22"/>
  <c r="AZ156" i="22"/>
  <c r="BA156" i="22"/>
  <c r="BB156" i="22"/>
  <c r="BC156" i="22"/>
  <c r="BF156" i="22"/>
  <c r="BW156" i="22"/>
  <c r="BZ156" i="22"/>
  <c r="J157" i="22"/>
  <c r="O157" i="22"/>
  <c r="P157" i="22"/>
  <c r="S157" i="22"/>
  <c r="W157" i="22"/>
  <c r="X157" i="22"/>
  <c r="Y157" i="22"/>
  <c r="AH157" i="22"/>
  <c r="AJ157" i="22"/>
  <c r="AK157" i="22"/>
  <c r="AL157" i="22"/>
  <c r="AM157" i="22"/>
  <c r="AO157" i="22"/>
  <c r="AP157" i="22"/>
  <c r="AS157" i="22"/>
  <c r="AX157" i="22"/>
  <c r="AZ157" i="22"/>
  <c r="BG157" i="22"/>
  <c r="BK157" i="22"/>
  <c r="BQ157" i="22"/>
  <c r="BR157" i="22"/>
  <c r="BS157" i="22"/>
  <c r="BT157" i="22"/>
  <c r="BU157" i="22"/>
  <c r="BV157" i="22"/>
  <c r="BW157" i="22"/>
  <c r="BX157" i="22"/>
  <c r="BZ157" i="22"/>
  <c r="CA157" i="22"/>
  <c r="A158" i="22"/>
  <c r="B158" i="22"/>
  <c r="C158" i="22"/>
  <c r="R158" i="22"/>
  <c r="AK158" i="22"/>
  <c r="AU158" i="22"/>
  <c r="AW158" i="22"/>
  <c r="BA158" i="22"/>
  <c r="BB158" i="22"/>
  <c r="BC158" i="22"/>
  <c r="BD158" i="22"/>
  <c r="BE158" i="22"/>
  <c r="BH158" i="22"/>
  <c r="BL158" i="22"/>
  <c r="BT158" i="22"/>
  <c r="BW158" i="22"/>
  <c r="BY158" i="22"/>
  <c r="A159" i="22"/>
  <c r="B159" i="22"/>
  <c r="F159" i="22"/>
  <c r="K159" i="22"/>
  <c r="O159" i="22"/>
  <c r="P159" i="22"/>
  <c r="Q159" i="22"/>
  <c r="R159" i="22"/>
  <c r="S159" i="22"/>
  <c r="T159" i="22"/>
  <c r="U159" i="22"/>
  <c r="V159" i="22"/>
  <c r="AE159" i="22"/>
  <c r="AF159" i="22"/>
  <c r="AG159" i="22"/>
  <c r="AI159" i="22"/>
  <c r="AK159" i="22"/>
  <c r="AL159" i="22"/>
  <c r="AN159" i="22"/>
  <c r="AO159" i="22"/>
  <c r="AZ159" i="22"/>
  <c r="BE159" i="22"/>
  <c r="BF159" i="22"/>
  <c r="BJ159" i="22"/>
  <c r="BM159" i="22"/>
  <c r="BQ159" i="22"/>
  <c r="BS159" i="22"/>
  <c r="BT159" i="22"/>
  <c r="BX159" i="22"/>
  <c r="BY159" i="22"/>
  <c r="BZ159" i="22"/>
  <c r="CA159" i="22"/>
  <c r="CB159" i="22"/>
  <c r="E160" i="22"/>
  <c r="F160" i="22"/>
  <c r="L160" i="22"/>
  <c r="O160" i="22"/>
  <c r="S160" i="22"/>
  <c r="T160" i="22"/>
  <c r="U160" i="22"/>
  <c r="V160" i="22"/>
  <c r="Y160" i="22"/>
  <c r="Z160" i="22"/>
  <c r="AH160" i="22"/>
  <c r="AI160" i="22"/>
  <c r="AK160" i="22"/>
  <c r="AL160" i="22"/>
  <c r="AU160" i="22"/>
  <c r="AZ160" i="22"/>
  <c r="BA160" i="22"/>
  <c r="BB160" i="22"/>
  <c r="BE160" i="22"/>
  <c r="BT160" i="22"/>
  <c r="BY160" i="22"/>
  <c r="CA160" i="22"/>
  <c r="B161" i="22"/>
  <c r="C161" i="22"/>
  <c r="D161" i="22"/>
  <c r="F161" i="22"/>
  <c r="J161" i="22"/>
  <c r="L161" i="22"/>
  <c r="M161" i="22"/>
  <c r="N161" i="22"/>
  <c r="R161" i="22"/>
  <c r="X161" i="22"/>
  <c r="Z161" i="22"/>
  <c r="AD161" i="22"/>
  <c r="AH161" i="22"/>
  <c r="AJ161" i="22"/>
  <c r="AL161" i="22"/>
  <c r="AN161" i="22"/>
  <c r="AV161" i="22"/>
  <c r="AZ161" i="22"/>
  <c r="BJ161" i="22"/>
  <c r="BK161" i="22"/>
  <c r="BR161" i="22"/>
  <c r="BS161" i="22"/>
  <c r="BV161" i="22"/>
  <c r="BW161" i="22"/>
  <c r="BX161" i="22"/>
  <c r="BY161" i="22"/>
  <c r="BZ161" i="22"/>
  <c r="CA161" i="22"/>
  <c r="B162" i="22"/>
  <c r="L162" i="22"/>
  <c r="O162" i="22"/>
  <c r="AB162" i="22"/>
  <c r="BG162" i="22"/>
  <c r="BH162" i="22"/>
  <c r="BI162" i="22"/>
  <c r="BJ162" i="22"/>
  <c r="BR162" i="22"/>
  <c r="BT162" i="22"/>
  <c r="H141" i="22"/>
  <c r="N141" i="22"/>
  <c r="O141" i="22"/>
  <c r="P141" i="22"/>
  <c r="R141" i="22"/>
  <c r="V141" i="22"/>
  <c r="W141" i="22"/>
  <c r="X141" i="22"/>
  <c r="Y141" i="22"/>
  <c r="AL141" i="22"/>
  <c r="AN141" i="22"/>
  <c r="AQ141" i="22"/>
  <c r="AU141" i="22"/>
  <c r="BM141" i="22"/>
  <c r="H142" i="22"/>
  <c r="I142" i="22"/>
  <c r="T142" i="22"/>
  <c r="Y142" i="22"/>
  <c r="AK142" i="22"/>
  <c r="AO142" i="22"/>
  <c r="BI142" i="22"/>
  <c r="BT142" i="22"/>
  <c r="BU142" i="22"/>
  <c r="A143" i="22"/>
  <c r="B143" i="22"/>
  <c r="L143" i="22"/>
  <c r="M143" i="22"/>
  <c r="N143" i="22"/>
  <c r="O143" i="22"/>
  <c r="P143" i="22"/>
  <c r="Q143" i="22"/>
  <c r="R143" i="22"/>
  <c r="S143" i="22"/>
  <c r="T143" i="22"/>
  <c r="U143" i="22"/>
  <c r="V143" i="22"/>
  <c r="X143" i="22"/>
  <c r="Y143" i="22"/>
  <c r="Z143" i="22"/>
  <c r="AD143" i="22"/>
  <c r="AE143" i="22"/>
  <c r="AF143" i="22"/>
  <c r="AG143" i="22"/>
  <c r="AH143" i="22"/>
  <c r="AI143" i="22"/>
  <c r="AJ143" i="22"/>
  <c r="AK143" i="22"/>
  <c r="AN143" i="22"/>
  <c r="AT143" i="22"/>
  <c r="AX143" i="22"/>
  <c r="BH143" i="22"/>
  <c r="BK143" i="22"/>
  <c r="BL143" i="22"/>
  <c r="BO143" i="22"/>
  <c r="BP143" i="22"/>
  <c r="BQ143" i="22"/>
  <c r="BR143" i="22"/>
  <c r="BW143" i="22"/>
  <c r="BX143" i="22"/>
  <c r="BY143" i="22"/>
  <c r="U144" i="22"/>
  <c r="V144" i="22"/>
  <c r="W144" i="22"/>
  <c r="AF144" i="22"/>
  <c r="AU144" i="22"/>
  <c r="AV144" i="22"/>
  <c r="BH144" i="22"/>
  <c r="BI144" i="22"/>
  <c r="BJ144" i="22"/>
  <c r="BN144" i="22"/>
  <c r="BO144" i="22"/>
  <c r="BP144" i="22"/>
  <c r="BQ144" i="22"/>
  <c r="BV144" i="22"/>
  <c r="BX144" i="22"/>
  <c r="CA144" i="22"/>
  <c r="CB144" i="22"/>
  <c r="G145" i="22"/>
  <c r="H145" i="22"/>
  <c r="O145" i="22"/>
  <c r="P145" i="22"/>
  <c r="Q145" i="22"/>
  <c r="R145" i="22"/>
  <c r="S145" i="22"/>
  <c r="Z145" i="22"/>
  <c r="AE145" i="22"/>
  <c r="AF145" i="22"/>
  <c r="AG145" i="22"/>
  <c r="AH145" i="22"/>
  <c r="AI145" i="22"/>
  <c r="AP145" i="22"/>
  <c r="AQ145" i="22"/>
  <c r="AR145" i="22"/>
  <c r="AT145" i="22"/>
  <c r="AY145" i="22"/>
  <c r="AZ145" i="22"/>
  <c r="BA145" i="22"/>
  <c r="BB145" i="22"/>
  <c r="BD145" i="22"/>
  <c r="BE145" i="22"/>
  <c r="BN145" i="22"/>
  <c r="BW145" i="22"/>
  <c r="BX145" i="22"/>
  <c r="CA145" i="22"/>
  <c r="B146" i="22"/>
  <c r="G146" i="22"/>
  <c r="H146" i="22"/>
  <c r="I146" i="22"/>
  <c r="L146" i="22"/>
  <c r="U146" i="22"/>
  <c r="V146" i="22"/>
  <c r="AN146" i="22"/>
  <c r="AV140" i="22"/>
  <c r="AW140" i="22"/>
  <c r="AX140" i="22"/>
  <c r="AY140" i="22"/>
  <c r="AZ140" i="22"/>
  <c r="BA140" i="22"/>
  <c r="BB140" i="22"/>
  <c r="BC140" i="22"/>
  <c r="BD140" i="22"/>
  <c r="BE140" i="22"/>
  <c r="BF140" i="22"/>
  <c r="BG140" i="22"/>
  <c r="AO146" i="22"/>
  <c r="AP146" i="22"/>
  <c r="AQ146" i="22"/>
  <c r="AR146" i="22"/>
  <c r="AS146" i="22"/>
  <c r="AX146" i="22"/>
  <c r="AY146" i="22"/>
  <c r="BA146" i="22"/>
  <c r="BB146" i="22"/>
  <c r="BD146" i="22"/>
  <c r="BF146" i="22"/>
  <c r="BK146" i="22"/>
  <c r="BL146" i="22"/>
  <c r="BM146" i="22"/>
  <c r="BN146" i="22"/>
  <c r="BO146" i="22"/>
  <c r="BQ146" i="22"/>
  <c r="D147" i="22"/>
  <c r="M147" i="22"/>
  <c r="N147" i="22"/>
  <c r="S147" i="22"/>
  <c r="V147" i="22"/>
  <c r="W147" i="22"/>
  <c r="AE147" i="22"/>
  <c r="AG147" i="22"/>
  <c r="AO147" i="22"/>
  <c r="AS147" i="22"/>
  <c r="AT147" i="22"/>
  <c r="AU147" i="22"/>
  <c r="AV147" i="22"/>
  <c r="AW147" i="22"/>
  <c r="AX147" i="22"/>
  <c r="AI149" i="22"/>
  <c r="BV149" i="22"/>
  <c r="D150" i="22"/>
  <c r="E150" i="22"/>
  <c r="F150" i="22"/>
  <c r="G150" i="22"/>
  <c r="H150" i="22"/>
  <c r="J150" i="22"/>
  <c r="K150" i="22"/>
  <c r="L150" i="22"/>
  <c r="M150" i="22"/>
  <c r="N150" i="22"/>
  <c r="P150" i="22"/>
  <c r="R150" i="22"/>
  <c r="S150" i="22"/>
  <c r="W150" i="22"/>
  <c r="AB150" i="22"/>
  <c r="AC150" i="22"/>
  <c r="AD150" i="22"/>
  <c r="AE150" i="22"/>
  <c r="AQ150" i="22"/>
  <c r="AS150" i="22"/>
  <c r="BF150" i="22"/>
  <c r="BR150" i="22"/>
  <c r="A151" i="22"/>
  <c r="B151" i="22"/>
  <c r="C151" i="22"/>
  <c r="T151" i="22"/>
  <c r="Y151" i="22"/>
  <c r="AE151" i="22"/>
  <c r="AF151" i="22"/>
  <c r="AI151" i="22"/>
  <c r="AN151" i="22"/>
  <c r="AT151" i="22"/>
  <c r="AW151" i="22"/>
  <c r="AX151" i="22"/>
  <c r="AY151" i="22"/>
  <c r="AZ151" i="22"/>
  <c r="BA151" i="22"/>
  <c r="BC151" i="22"/>
  <c r="BJ151" i="22"/>
  <c r="BK151" i="22"/>
  <c r="BU151" i="22"/>
  <c r="BV151" i="22"/>
  <c r="BW151" i="22"/>
  <c r="BX151" i="22"/>
  <c r="BY151" i="22"/>
  <c r="CA151" i="22"/>
  <c r="A152" i="22"/>
  <c r="B152" i="22"/>
  <c r="C152" i="22"/>
  <c r="G152" i="22"/>
  <c r="H152" i="22"/>
  <c r="J152" i="22"/>
  <c r="U152" i="22"/>
  <c r="V152" i="22"/>
  <c r="AG152" i="22"/>
  <c r="AH152" i="22"/>
  <c r="AI152" i="22"/>
  <c r="AJ152" i="22"/>
  <c r="AL152" i="22"/>
  <c r="AN152" i="22"/>
  <c r="AO152" i="22"/>
  <c r="AU152" i="22"/>
  <c r="AV152" i="22"/>
  <c r="AW152" i="22"/>
  <c r="BA152" i="22"/>
  <c r="BB152" i="22"/>
  <c r="BG152" i="22"/>
  <c r="BM152" i="22"/>
  <c r="BP152" i="22"/>
  <c r="J153" i="22"/>
  <c r="R153" i="22"/>
  <c r="S153" i="22"/>
  <c r="AD153" i="22"/>
  <c r="AF153" i="22"/>
  <c r="AY153" i="22"/>
  <c r="BS153" i="22"/>
  <c r="BT153" i="22"/>
  <c r="BU153" i="22"/>
  <c r="BW153" i="22"/>
  <c r="BX153" i="22"/>
  <c r="BZ153" i="22"/>
  <c r="CA153" i="22"/>
  <c r="CB153" i="22"/>
  <c r="A154" i="22"/>
  <c r="B154" i="22"/>
  <c r="F154" i="22"/>
  <c r="L154" i="22"/>
  <c r="M154" i="22"/>
  <c r="N154" i="22"/>
  <c r="O154" i="22"/>
  <c r="P154" i="22"/>
  <c r="Q154" i="22"/>
  <c r="R154" i="22"/>
  <c r="S154" i="22"/>
  <c r="U154" i="22"/>
  <c r="V154" i="22"/>
  <c r="W154" i="22"/>
  <c r="X154" i="22"/>
  <c r="Y154" i="22"/>
  <c r="AB154" i="22"/>
  <c r="AD154" i="22"/>
  <c r="AE154" i="22"/>
  <c r="AH154" i="22"/>
  <c r="AN154" i="22"/>
  <c r="AO154" i="22"/>
  <c r="AP154" i="22"/>
  <c r="AR154" i="22"/>
  <c r="AS154" i="22"/>
  <c r="AY154" i="22"/>
  <c r="BD154" i="22"/>
  <c r="BE154" i="22"/>
  <c r="BI154" i="22"/>
  <c r="BJ154" i="22"/>
  <c r="BK154" i="22"/>
  <c r="BL154" i="22"/>
  <c r="BM154" i="22"/>
  <c r="BR154" i="22"/>
  <c r="BS154" i="22"/>
  <c r="BT154" i="22"/>
  <c r="BY154" i="22"/>
  <c r="BZ154" i="22"/>
  <c r="D155" i="22"/>
  <c r="I155" i="22"/>
  <c r="N155" i="22"/>
  <c r="O155" i="22"/>
  <c r="S155" i="22"/>
  <c r="T155" i="22"/>
  <c r="AD155" i="22"/>
  <c r="AE155" i="22"/>
  <c r="AF155" i="22"/>
  <c r="AG155" i="22"/>
  <c r="AI155" i="22"/>
  <c r="AM155" i="22"/>
  <c r="AN155" i="22"/>
  <c r="AO155" i="22"/>
  <c r="AQ155" i="22"/>
  <c r="AR155" i="22"/>
  <c r="AS155" i="22"/>
  <c r="AT155" i="22"/>
  <c r="BQ155" i="22"/>
  <c r="A156" i="22"/>
  <c r="D156" i="22"/>
  <c r="L156" i="22"/>
  <c r="M156" i="22"/>
  <c r="N156" i="22"/>
  <c r="T156" i="22"/>
  <c r="V156" i="22"/>
  <c r="W156" i="22"/>
  <c r="Y156" i="22"/>
  <c r="AD156" i="22"/>
  <c r="AK156" i="22"/>
  <c r="M141" i="22"/>
  <c r="Z141" i="22"/>
  <c r="AF141" i="22"/>
  <c r="AK141" i="22"/>
  <c r="AX141" i="22"/>
  <c r="BY141" i="22"/>
  <c r="BZ141" i="22"/>
  <c r="CA141" i="22"/>
  <c r="O142" i="22"/>
  <c r="Z142" i="22"/>
  <c r="AA142" i="22"/>
  <c r="AF142" i="22"/>
  <c r="AL142" i="22"/>
  <c r="AP142" i="22"/>
  <c r="BD142" i="22"/>
  <c r="BS142" i="22"/>
  <c r="BW142" i="22"/>
  <c r="BX142" i="22"/>
  <c r="I143" i="22"/>
  <c r="J143" i="22"/>
  <c r="K143" i="22"/>
  <c r="W143" i="22"/>
  <c r="AS143" i="22"/>
  <c r="AV143" i="22"/>
  <c r="AW143" i="22"/>
  <c r="AZ143" i="22"/>
  <c r="BS143" i="22"/>
  <c r="BT143" i="22"/>
  <c r="BU143" i="22"/>
  <c r="K144" i="22"/>
  <c r="N144" i="22"/>
  <c r="O144" i="22"/>
  <c r="P144" i="22"/>
  <c r="R144" i="22"/>
  <c r="Y144" i="22"/>
  <c r="AC144" i="22"/>
  <c r="AG144" i="22"/>
  <c r="AL144" i="22"/>
  <c r="AN144" i="22"/>
  <c r="AP144" i="22"/>
  <c r="AR144" i="22"/>
  <c r="AS144" i="22"/>
  <c r="AT144" i="22"/>
  <c r="AW144" i="22"/>
  <c r="AX144" i="22"/>
  <c r="BA144" i="22"/>
  <c r="BU144" i="22"/>
  <c r="BY144" i="22"/>
  <c r="A145" i="22"/>
  <c r="B145" i="22"/>
  <c r="C145" i="22"/>
  <c r="D145" i="22"/>
  <c r="E145" i="22"/>
  <c r="F145" i="22"/>
  <c r="AB145" i="22"/>
  <c r="AC145" i="22"/>
  <c r="AD145" i="22"/>
  <c r="AS145" i="22"/>
  <c r="BJ145" i="22"/>
  <c r="BK145" i="22"/>
  <c r="BL145" i="22"/>
  <c r="BM145" i="22"/>
  <c r="BO145" i="22"/>
  <c r="BU145" i="22"/>
  <c r="BV145" i="22"/>
  <c r="BY145" i="22"/>
  <c r="BZ145" i="22"/>
  <c r="CB145" i="22"/>
  <c r="C146" i="22"/>
  <c r="D146" i="22"/>
  <c r="E146" i="22"/>
  <c r="P146" i="22"/>
  <c r="Q146" i="22"/>
  <c r="T146" i="22"/>
  <c r="AA146" i="22"/>
  <c r="AC146" i="22"/>
  <c r="AD146" i="22"/>
  <c r="AL146" i="22"/>
  <c r="AT146" i="22"/>
  <c r="BG146" i="22"/>
  <c r="BW146" i="22"/>
  <c r="BX146" i="22"/>
  <c r="CB146" i="22"/>
  <c r="A147" i="22"/>
  <c r="B147" i="22"/>
  <c r="E147" i="22"/>
  <c r="F147" i="22"/>
  <c r="H147" i="22"/>
  <c r="O147" i="22"/>
  <c r="P147" i="22"/>
  <c r="Q147" i="22"/>
  <c r="AC147" i="22"/>
  <c r="AD147" i="22"/>
  <c r="AH147" i="22"/>
  <c r="BY147" i="22"/>
  <c r="C148" i="22"/>
  <c r="O148" i="22"/>
  <c r="Z148" i="22"/>
  <c r="AG148" i="22"/>
  <c r="AO148" i="22"/>
  <c r="AQ148" i="22"/>
  <c r="AT148" i="22"/>
  <c r="AY148" i="22"/>
  <c r="AZ148" i="22"/>
  <c r="BA148" i="22"/>
  <c r="BE148" i="22"/>
  <c r="BI148" i="22"/>
  <c r="BJ148" i="22"/>
  <c r="BZ148" i="22"/>
  <c r="CA148" i="22"/>
  <c r="B149" i="22"/>
  <c r="F149" i="22"/>
  <c r="N149" i="22"/>
  <c r="Q149" i="22"/>
  <c r="S149" i="22"/>
  <c r="X149" i="22"/>
  <c r="AA149" i="22"/>
  <c r="BL149" i="22"/>
  <c r="BM149" i="22"/>
  <c r="BQ149" i="22"/>
  <c r="BR149" i="22"/>
  <c r="I150" i="22"/>
  <c r="Q150" i="22"/>
  <c r="U150" i="22"/>
  <c r="V150" i="22"/>
  <c r="AK150" i="22"/>
  <c r="AL150" i="22"/>
  <c r="AY150" i="22"/>
  <c r="BA150" i="22"/>
  <c r="BD150" i="22"/>
  <c r="BE150" i="22"/>
  <c r="BX150" i="22"/>
  <c r="BZ150" i="22"/>
  <c r="CA150" i="22"/>
  <c r="CB150" i="22"/>
  <c r="D151" i="22"/>
  <c r="G151" i="22"/>
  <c r="H151" i="22"/>
  <c r="I151" i="22"/>
  <c r="M151" i="22"/>
  <c r="N151" i="22"/>
  <c r="O151" i="22"/>
  <c r="R151" i="22"/>
  <c r="U151" i="22"/>
  <c r="AH151" i="22"/>
  <c r="AO151" i="22"/>
  <c r="AS151" i="22"/>
  <c r="BB151" i="22"/>
  <c r="BE151" i="22"/>
  <c r="BG151" i="22"/>
  <c r="CB151" i="22"/>
  <c r="K152" i="22"/>
  <c r="M152" i="22"/>
  <c r="O152" i="22"/>
  <c r="W152" i="22"/>
  <c r="X152" i="22"/>
  <c r="Y152" i="22"/>
  <c r="AB152" i="22"/>
  <c r="AC152" i="22"/>
  <c r="AK152" i="22"/>
  <c r="AZ152" i="22"/>
  <c r="BC152" i="22"/>
  <c r="BD152" i="22"/>
  <c r="BE152" i="22"/>
  <c r="BF152" i="22"/>
  <c r="BL152" i="22"/>
  <c r="BN152" i="22"/>
  <c r="CA152" i="22"/>
  <c r="D153" i="22"/>
  <c r="T153" i="22"/>
  <c r="AH153" i="22"/>
  <c r="BA153" i="22"/>
  <c r="BF153" i="22"/>
  <c r="BJ153" i="22"/>
  <c r="BY153" i="22"/>
  <c r="C154" i="22"/>
  <c r="Z154" i="22"/>
  <c r="AF154" i="22"/>
  <c r="AJ154" i="22"/>
  <c r="AT154" i="22"/>
  <c r="AU154" i="22"/>
  <c r="BC154" i="22"/>
  <c r="CA154" i="22"/>
  <c r="CB154" i="22"/>
  <c r="G155" i="22"/>
  <c r="H155" i="22"/>
  <c r="Q155" i="22"/>
  <c r="AJ155" i="22"/>
  <c r="AK155" i="22"/>
  <c r="AV155" i="22"/>
  <c r="AW155" i="22"/>
  <c r="BB155" i="22"/>
  <c r="BC155" i="22"/>
  <c r="BE155" i="22"/>
  <c r="BK155" i="22"/>
  <c r="BL155" i="22"/>
  <c r="BR155" i="22"/>
  <c r="BT155" i="22"/>
  <c r="BU155" i="22"/>
  <c r="BV155" i="22"/>
  <c r="B156" i="22"/>
  <c r="F156" i="22"/>
  <c r="AE156" i="22"/>
  <c r="AM156" i="22"/>
  <c r="AN156" i="22"/>
  <c r="AT156" i="22"/>
  <c r="AX156" i="22"/>
  <c r="BD156" i="22"/>
  <c r="BH156" i="22"/>
  <c r="BI156" i="22"/>
  <c r="BJ156" i="22"/>
  <c r="BL156" i="22"/>
  <c r="BN156" i="22"/>
  <c r="BP156" i="22"/>
  <c r="BQ156" i="22"/>
  <c r="BR156" i="22"/>
  <c r="BS156" i="22"/>
  <c r="BT156" i="22"/>
  <c r="A157" i="22"/>
  <c r="B157" i="22"/>
  <c r="H157" i="22"/>
  <c r="I157" i="22"/>
  <c r="K157" i="22"/>
  <c r="L157" i="22"/>
  <c r="M157" i="22"/>
  <c r="T157" i="22"/>
  <c r="AB157" i="22"/>
  <c r="AC157" i="22"/>
  <c r="AE157" i="22"/>
  <c r="AU157" i="22"/>
  <c r="AW157" i="22"/>
  <c r="BB157" i="22"/>
  <c r="BC157" i="22"/>
  <c r="BD157" i="22"/>
  <c r="BE157" i="22"/>
  <c r="BM157" i="22"/>
  <c r="M158" i="22"/>
  <c r="N158" i="22"/>
  <c r="O158" i="22"/>
  <c r="P158" i="22"/>
  <c r="Q158" i="22"/>
  <c r="W158" i="22"/>
  <c r="X158" i="22"/>
  <c r="Y158" i="22"/>
  <c r="Z158" i="22"/>
  <c r="AA158" i="22"/>
  <c r="AE158" i="22"/>
  <c r="AF158" i="22"/>
  <c r="AT158" i="22"/>
  <c r="AY158" i="22"/>
  <c r="AZ158" i="22"/>
  <c r="BF158" i="22"/>
  <c r="BG158" i="22"/>
  <c r="BI158" i="22"/>
  <c r="BJ158" i="22"/>
  <c r="BP158" i="22"/>
  <c r="BQ158" i="22"/>
  <c r="C159" i="22"/>
  <c r="W159" i="22"/>
  <c r="X159" i="22"/>
  <c r="AA159" i="22"/>
  <c r="AB159" i="22"/>
  <c r="AM159" i="22"/>
  <c r="AP159" i="22"/>
  <c r="AS159" i="22"/>
  <c r="AV159" i="22"/>
  <c r="AW159" i="22"/>
  <c r="AX159" i="22"/>
  <c r="AY159" i="22"/>
  <c r="BG159" i="22"/>
  <c r="BH159" i="22"/>
  <c r="BI159" i="22"/>
  <c r="BU159" i="22"/>
  <c r="BV159" i="22"/>
  <c r="C160" i="22"/>
  <c r="R160" i="22"/>
  <c r="W160" i="22"/>
  <c r="AC160" i="22"/>
  <c r="AT160" i="22"/>
  <c r="AX160" i="22"/>
  <c r="BF160" i="22"/>
  <c r="BH160" i="22"/>
  <c r="BI160" i="22"/>
  <c r="BJ160" i="22"/>
  <c r="BN160" i="22"/>
  <c r="BR160" i="22"/>
  <c r="BU160" i="22"/>
  <c r="BV160" i="22"/>
  <c r="AO161" i="22"/>
  <c r="AP161" i="22"/>
  <c r="AQ161" i="22"/>
  <c r="AR161" i="22"/>
  <c r="AT161" i="22"/>
  <c r="AU161" i="22"/>
  <c r="AW161" i="22"/>
  <c r="AX161" i="22"/>
  <c r="BB161" i="22"/>
  <c r="BC161" i="22"/>
  <c r="BD161" i="22"/>
  <c r="BE161" i="22"/>
  <c r="BT161" i="22"/>
  <c r="CB161" i="22"/>
  <c r="A162" i="22"/>
  <c r="F162" i="22"/>
  <c r="G162" i="22"/>
  <c r="H162" i="22"/>
  <c r="J162" i="22"/>
  <c r="N162" i="22"/>
  <c r="S162" i="22"/>
  <c r="T162" i="22"/>
  <c r="V162" i="22"/>
  <c r="W162" i="22"/>
  <c r="AH162" i="22"/>
  <c r="AJ162" i="22"/>
  <c r="AL162" i="22"/>
  <c r="AM162" i="22"/>
  <c r="AN162" i="22"/>
  <c r="AO162" i="22"/>
  <c r="AS162" i="22"/>
  <c r="AZ162" i="22"/>
  <c r="BA162" i="22"/>
  <c r="BC162" i="22"/>
  <c r="BN162" i="22"/>
  <c r="BO162" i="22"/>
  <c r="BQ162" i="22"/>
  <c r="BU162" i="22"/>
  <c r="BV162" i="22"/>
  <c r="BW162" i="22"/>
  <c r="BX162" i="22"/>
  <c r="BY162" i="22"/>
  <c r="BZ162" i="22"/>
  <c r="AE141" i="22"/>
  <c r="AO141" i="22"/>
  <c r="AP141" i="22"/>
  <c r="BB141" i="22"/>
  <c r="BD141" i="22"/>
  <c r="BF141" i="22"/>
  <c r="BH141" i="22"/>
  <c r="BJ141" i="22"/>
  <c r="BW141" i="22"/>
  <c r="J142" i="22"/>
  <c r="L142" i="22"/>
  <c r="S142" i="22"/>
  <c r="AE142" i="22"/>
  <c r="AG142" i="22"/>
  <c r="AH142" i="22"/>
  <c r="AJ142" i="22"/>
  <c r="AU142" i="22"/>
  <c r="AW142" i="22"/>
  <c r="AY142" i="22"/>
  <c r="BE142" i="22"/>
  <c r="BF142" i="22"/>
  <c r="BH142" i="22"/>
  <c r="BK142" i="22"/>
  <c r="BV142" i="22"/>
  <c r="BY142" i="22"/>
  <c r="CB142" i="22"/>
  <c r="F143" i="22"/>
  <c r="AR143" i="22"/>
  <c r="BE143" i="22"/>
  <c r="BI143" i="22"/>
  <c r="BJ143" i="22"/>
  <c r="BN143" i="22"/>
  <c r="C144" i="22"/>
  <c r="X144" i="22"/>
  <c r="AM144" i="22"/>
  <c r="AO144" i="22"/>
  <c r="BB144" i="22"/>
  <c r="BR144" i="22"/>
  <c r="W145" i="22"/>
  <c r="BP145" i="22"/>
  <c r="BS145" i="22"/>
  <c r="A146" i="22"/>
  <c r="AH146" i="22"/>
  <c r="AV146" i="22"/>
  <c r="BI146" i="22"/>
  <c r="BV146" i="22"/>
  <c r="CA146" i="22"/>
  <c r="C147" i="22"/>
  <c r="G147" i="22"/>
  <c r="AB147" i="22"/>
  <c r="AI147" i="22"/>
  <c r="AY147" i="22"/>
  <c r="BA147" i="22"/>
  <c r="BT147" i="22"/>
  <c r="BU147" i="22"/>
  <c r="A148" i="22"/>
  <c r="B148" i="22"/>
  <c r="G148" i="22"/>
  <c r="I148" i="22"/>
  <c r="AU148" i="22"/>
  <c r="AX148" i="22"/>
  <c r="BX148" i="22"/>
  <c r="J149" i="22"/>
  <c r="AE149" i="22"/>
  <c r="AO149" i="22"/>
  <c r="AW149" i="22"/>
  <c r="AY149" i="22"/>
  <c r="BA149" i="22"/>
  <c r="BF149" i="22"/>
  <c r="BS149" i="22"/>
  <c r="BU149" i="22"/>
  <c r="AA150" i="22"/>
  <c r="AG150" i="22"/>
  <c r="P151" i="22"/>
  <c r="W151" i="22"/>
  <c r="AJ151" i="22"/>
  <c r="AQ151" i="22"/>
  <c r="BI151" i="22"/>
  <c r="I152" i="22"/>
  <c r="AA152" i="22"/>
  <c r="AD152" i="22"/>
  <c r="AP152" i="22"/>
  <c r="AT152" i="22"/>
  <c r="BO152" i="22"/>
  <c r="X153" i="22"/>
  <c r="AA153" i="22"/>
  <c r="AB153" i="22"/>
  <c r="BH153" i="22"/>
  <c r="BQ153" i="22"/>
  <c r="BR153" i="22"/>
  <c r="AK154" i="22"/>
  <c r="BN154" i="22"/>
  <c r="E155" i="22"/>
  <c r="F155" i="22"/>
  <c r="AC155" i="22"/>
  <c r="AY155" i="22"/>
  <c r="BO155" i="22"/>
  <c r="CA155" i="22"/>
  <c r="CB155" i="22"/>
  <c r="G156" i="22"/>
  <c r="H156" i="22"/>
  <c r="J156" i="22"/>
  <c r="S156" i="22"/>
  <c r="AA156" i="22"/>
  <c r="AC156" i="22"/>
  <c r="AU156" i="22"/>
  <c r="BG156" i="22"/>
  <c r="BU156" i="22"/>
  <c r="C157" i="22"/>
  <c r="E157" i="22"/>
  <c r="R157" i="22"/>
  <c r="U157" i="22"/>
  <c r="AI157" i="22"/>
  <c r="AQ157" i="22"/>
  <c r="BJ157" i="22"/>
  <c r="BY157" i="22"/>
  <c r="G158" i="22"/>
  <c r="H158" i="22"/>
  <c r="J158" i="22"/>
  <c r="AD158" i="22"/>
  <c r="AJ158" i="22"/>
  <c r="AO158" i="22"/>
  <c r="AP158" i="22"/>
  <c r="AR158" i="22"/>
  <c r="AX158" i="22"/>
  <c r="BO158" i="22"/>
  <c r="BV158" i="22"/>
  <c r="CB158" i="22"/>
  <c r="J159" i="22"/>
  <c r="L159" i="22"/>
  <c r="M159" i="22"/>
  <c r="Z159" i="22"/>
  <c r="BW159" i="22"/>
  <c r="G160" i="22"/>
  <c r="J160" i="22"/>
  <c r="N160" i="22"/>
  <c r="X160" i="22"/>
  <c r="AG160" i="22"/>
  <c r="CB160" i="22"/>
  <c r="H161" i="22"/>
  <c r="K161" i="22"/>
  <c r="S161" i="22"/>
  <c r="T161" i="22"/>
  <c r="W161" i="22"/>
  <c r="AE161" i="22"/>
  <c r="BF161" i="22"/>
  <c r="BH161" i="22"/>
  <c r="BL161" i="22"/>
  <c r="BP161" i="22"/>
  <c r="Z162" i="22"/>
  <c r="AA162" i="22"/>
  <c r="AI162" i="22"/>
  <c r="AP162" i="22"/>
  <c r="BD162" i="22"/>
  <c r="BF162" i="22"/>
  <c r="BP162" i="22"/>
  <c r="BH140" i="22"/>
  <c r="BI140" i="22"/>
  <c r="BJ140" i="22"/>
  <c r="BK140" i="22"/>
  <c r="BL140" i="22"/>
  <c r="BM140" i="22"/>
  <c r="I141" i="22"/>
  <c r="AS141" i="22"/>
  <c r="BA141" i="22"/>
  <c r="BC141" i="22"/>
  <c r="BE141" i="22"/>
  <c r="BG141" i="22"/>
  <c r="BI141" i="22"/>
  <c r="BN141" i="22"/>
  <c r="BV141" i="22"/>
  <c r="E142" i="22"/>
  <c r="M142" i="22"/>
  <c r="AI142" i="22"/>
  <c r="AV142" i="22"/>
  <c r="AX142" i="22"/>
  <c r="AZ142" i="22"/>
  <c r="BG142" i="22"/>
  <c r="AY143" i="22"/>
  <c r="BA143" i="22"/>
  <c r="BD143" i="22"/>
  <c r="BF143" i="22"/>
  <c r="Q144" i="22"/>
  <c r="V145" i="22"/>
  <c r="AI146" i="22"/>
  <c r="AU146" i="22"/>
  <c r="BC146" i="22"/>
  <c r="J147" i="22"/>
  <c r="L147" i="22"/>
  <c r="U147" i="22"/>
  <c r="AP147" i="22"/>
  <c r="AZ147" i="22"/>
  <c r="BB147" i="22"/>
  <c r="BH147" i="22"/>
  <c r="BS147" i="22"/>
  <c r="BV147" i="22"/>
  <c r="CB147" i="22"/>
  <c r="H148" i="22"/>
  <c r="P148" i="22"/>
  <c r="AH148" i="22"/>
  <c r="BB148" i="22"/>
  <c r="BG148" i="22"/>
  <c r="BS148" i="22"/>
  <c r="BW148" i="22"/>
  <c r="G149" i="22"/>
  <c r="R149" i="22"/>
  <c r="AV149" i="22"/>
  <c r="AX149" i="22"/>
  <c r="BE149" i="22"/>
  <c r="BK149" i="22"/>
  <c r="BO149" i="22"/>
  <c r="BT149" i="22"/>
  <c r="O150" i="22"/>
  <c r="X150" i="22"/>
  <c r="Y150" i="22"/>
  <c r="AF150" i="22"/>
  <c r="AT150" i="22"/>
  <c r="BW150" i="22"/>
  <c r="Q151" i="22"/>
  <c r="S151" i="22"/>
  <c r="V151" i="22"/>
  <c r="AB151" i="22"/>
  <c r="AD151" i="22"/>
  <c r="AK151" i="22"/>
  <c r="AP151" i="22"/>
  <c r="AR151" i="22"/>
  <c r="BZ151" i="22"/>
  <c r="D152" i="22"/>
  <c r="F152" i="22"/>
  <c r="N152" i="22"/>
  <c r="CB152" i="22"/>
  <c r="W153" i="22"/>
  <c r="Y153" i="22"/>
  <c r="Z153" i="22"/>
  <c r="BB153" i="22"/>
  <c r="BD153" i="22"/>
  <c r="BE153" i="22"/>
  <c r="BI153" i="22"/>
  <c r="BP153" i="22"/>
  <c r="E154" i="22"/>
  <c r="AW154" i="22"/>
  <c r="AZ154" i="22"/>
  <c r="BO154" i="22"/>
  <c r="BX154" i="22"/>
  <c r="A155" i="22"/>
  <c r="B155" i="22"/>
  <c r="C155" i="22"/>
  <c r="AZ155" i="22"/>
  <c r="BH155" i="22"/>
  <c r="BM155" i="22"/>
  <c r="BP155" i="22"/>
  <c r="I156" i="22"/>
  <c r="R156" i="22"/>
  <c r="AB156" i="22"/>
  <c r="AF156" i="22"/>
  <c r="AR156" i="22"/>
  <c r="AS156" i="22"/>
  <c r="AV156" i="22"/>
  <c r="BE156" i="22"/>
  <c r="BK156" i="22"/>
  <c r="BO156" i="22"/>
  <c r="BV156" i="22"/>
  <c r="BY156" i="22"/>
  <c r="CB156" i="22"/>
  <c r="D157" i="22"/>
  <c r="F157" i="22"/>
  <c r="G157" i="22"/>
  <c r="V157" i="22"/>
  <c r="Z157" i="22"/>
  <c r="AA157" i="22"/>
  <c r="AN157" i="22"/>
  <c r="AR157" i="22"/>
  <c r="AV157" i="22"/>
  <c r="BF157" i="22"/>
  <c r="BL157" i="22"/>
  <c r="CB157" i="22"/>
  <c r="I158" i="22"/>
  <c r="L158" i="22"/>
  <c r="AH158" i="22"/>
  <c r="AM158" i="22"/>
  <c r="AQ158" i="22"/>
  <c r="BM158" i="22"/>
  <c r="BN158" i="22"/>
  <c r="BS158" i="22"/>
  <c r="D159" i="22"/>
  <c r="AC159" i="22"/>
  <c r="AQ159" i="22"/>
  <c r="BL159" i="22"/>
  <c r="BP159" i="22"/>
  <c r="BR159" i="22"/>
  <c r="H160" i="22"/>
  <c r="I160" i="22"/>
  <c r="K160" i="22"/>
  <c r="M160" i="22"/>
  <c r="AF160" i="22"/>
  <c r="AJ160" i="22"/>
  <c r="AV160" i="22"/>
  <c r="AY160" i="22"/>
  <c r="BP160" i="22"/>
  <c r="BQ160" i="22"/>
  <c r="BS160" i="22"/>
  <c r="AA161" i="22"/>
  <c r="AI161" i="22"/>
  <c r="BG161" i="22"/>
  <c r="BI161" i="22"/>
  <c r="BN161" i="22"/>
  <c r="BO161" i="22"/>
  <c r="AW162" i="22"/>
  <c r="AX162" i="22"/>
  <c r="BB162" i="22"/>
  <c r="BE162" i="22"/>
  <c r="BK162" i="22"/>
  <c r="BN140" i="22"/>
  <c r="BO140" i="22"/>
  <c r="BP140" i="22"/>
  <c r="BQ140" i="22"/>
  <c r="BR140" i="22"/>
  <c r="BS140" i="22"/>
  <c r="BT140" i="22"/>
  <c r="BU140" i="22"/>
  <c r="BV140" i="22"/>
  <c r="BW140" i="22"/>
  <c r="BX140" i="22"/>
  <c r="BY140" i="22"/>
  <c r="BZ140" i="22"/>
  <c r="CA140" i="22"/>
  <c r="CB140" i="22"/>
  <c r="A141" i="22"/>
  <c r="B141" i="22"/>
  <c r="C141" i="22"/>
  <c r="D141" i="22"/>
  <c r="E141" i="22"/>
  <c r="F141" i="22"/>
  <c r="AH141" i="22"/>
  <c r="AC141" i="22"/>
  <c r="S141" i="22"/>
  <c r="BU122" i="22"/>
  <c r="BW122" i="22"/>
  <c r="AI100" i="22"/>
  <c r="BO72" i="22"/>
  <c r="BD88" i="22"/>
  <c r="AJ50" i="22"/>
  <c r="AI50" i="22"/>
  <c r="AH50" i="22"/>
  <c r="AG50" i="22"/>
  <c r="AF50" i="22"/>
  <c r="AE50" i="22"/>
  <c r="AD50" i="22"/>
  <c r="AC50" i="22"/>
  <c r="AB50" i="22"/>
  <c r="AA50" i="22"/>
  <c r="Z50" i="22"/>
  <c r="Y50" i="22"/>
  <c r="X50" i="22"/>
  <c r="W50" i="22"/>
  <c r="V50" i="22"/>
  <c r="U50" i="22"/>
  <c r="T50" i="22"/>
  <c r="S50" i="22"/>
  <c r="R50" i="22"/>
  <c r="Q50" i="22"/>
  <c r="P50" i="22"/>
  <c r="O50" i="22"/>
  <c r="N50" i="22"/>
  <c r="M50" i="22"/>
  <c r="L50" i="22"/>
  <c r="K50" i="22"/>
  <c r="J50" i="22"/>
  <c r="I50" i="22"/>
  <c r="H50" i="22"/>
  <c r="G50" i="22"/>
  <c r="F50" i="22"/>
  <c r="E50" i="22"/>
  <c r="D50" i="22"/>
  <c r="C50" i="22"/>
  <c r="B50" i="22"/>
  <c r="A50" i="22"/>
  <c r="CB49" i="22"/>
  <c r="CA49" i="22"/>
  <c r="BZ49" i="22"/>
  <c r="BY49" i="22"/>
  <c r="BX49" i="22"/>
  <c r="BW49" i="22"/>
  <c r="BV49" i="22"/>
  <c r="BU49" i="22"/>
  <c r="BT49" i="22"/>
  <c r="BS49" i="22"/>
  <c r="BR49" i="22"/>
  <c r="BQ49" i="22"/>
  <c r="BP49" i="22"/>
  <c r="BO49" i="22"/>
  <c r="BN49" i="22"/>
  <c r="BM49" i="22"/>
  <c r="BL49" i="22"/>
  <c r="BK49" i="22"/>
  <c r="BJ49" i="22"/>
  <c r="BI49" i="22"/>
  <c r="BH49" i="22"/>
  <c r="BG49" i="22"/>
  <c r="BF49" i="22"/>
  <c r="BE49" i="22"/>
  <c r="BD49" i="22"/>
  <c r="BC49" i="22"/>
  <c r="BB49" i="22"/>
  <c r="BA49" i="22"/>
  <c r="AZ49" i="22"/>
  <c r="AY49" i="22"/>
  <c r="AX49" i="22"/>
  <c r="AW49" i="22"/>
  <c r="AV49" i="22"/>
  <c r="AU49" i="22"/>
  <c r="AT49" i="22"/>
  <c r="AS49" i="22"/>
  <c r="AR49" i="22"/>
  <c r="AQ49" i="22"/>
  <c r="AP49" i="22"/>
  <c r="AO49" i="22"/>
  <c r="AN49" i="22"/>
  <c r="AM49" i="22"/>
  <c r="AL49" i="22"/>
  <c r="AK49" i="22"/>
  <c r="AJ49" i="22"/>
  <c r="AI49" i="22"/>
  <c r="AH49" i="22"/>
  <c r="AG49" i="22"/>
  <c r="AF49" i="22"/>
  <c r="AE49" i="22"/>
  <c r="AD49" i="22"/>
  <c r="AC49" i="22"/>
  <c r="AB49" i="22"/>
  <c r="AA49" i="22"/>
  <c r="Z49" i="22"/>
  <c r="Y49" i="22"/>
  <c r="X49" i="22"/>
  <c r="W49" i="22"/>
  <c r="V49" i="22"/>
  <c r="U49" i="22"/>
  <c r="T49" i="22"/>
  <c r="S49" i="22"/>
  <c r="R49" i="22"/>
  <c r="Q49" i="22"/>
  <c r="P49" i="22"/>
  <c r="O49" i="22"/>
  <c r="N49" i="22"/>
  <c r="M49" i="22"/>
  <c r="L49" i="22"/>
  <c r="K49" i="22"/>
  <c r="J49" i="22"/>
  <c r="I49" i="22"/>
  <c r="H49" i="22"/>
  <c r="G49" i="22"/>
  <c r="F49" i="22"/>
  <c r="E49" i="22"/>
  <c r="D49" i="22"/>
  <c r="C49" i="22"/>
  <c r="B49" i="22"/>
  <c r="A49" i="22"/>
  <c r="C624" i="22" s="1"/>
  <c r="CB48" i="22"/>
  <c r="CA48" i="22"/>
  <c r="BZ48" i="22"/>
  <c r="BY48" i="22"/>
  <c r="BX48" i="22"/>
  <c r="BW48" i="22"/>
  <c r="BV48" i="22"/>
  <c r="BU48" i="22"/>
  <c r="BT48" i="22"/>
  <c r="BS48" i="22"/>
  <c r="BR48" i="22"/>
  <c r="BQ48" i="22"/>
  <c r="BP48" i="22"/>
  <c r="BO48" i="22"/>
  <c r="BN48" i="22"/>
  <c r="BM48" i="22"/>
  <c r="BL48" i="22"/>
  <c r="BK48" i="22"/>
  <c r="BJ48" i="22"/>
  <c r="BI48" i="22"/>
  <c r="BH48" i="22"/>
  <c r="BG48" i="22"/>
  <c r="BF48" i="22"/>
  <c r="BE48" i="22"/>
  <c r="BD48" i="22"/>
  <c r="BC48" i="22"/>
  <c r="BB48" i="22"/>
  <c r="BA48" i="22"/>
  <c r="AZ48" i="22"/>
  <c r="AY48" i="22"/>
  <c r="AX48" i="22"/>
  <c r="AW48" i="22"/>
  <c r="AV48" i="22"/>
  <c r="AU48" i="22"/>
  <c r="AT48" i="22"/>
  <c r="AS48" i="22"/>
  <c r="AR48" i="22"/>
  <c r="AQ48" i="22"/>
  <c r="AP48" i="22"/>
  <c r="AO48" i="22"/>
  <c r="AN48" i="22"/>
  <c r="AM48" i="22"/>
  <c r="AL48" i="22"/>
  <c r="AK48" i="22"/>
  <c r="AJ48" i="22"/>
  <c r="AI48" i="22"/>
  <c r="AH48" i="22"/>
  <c r="AG48" i="22"/>
  <c r="AF48" i="22"/>
  <c r="AE48" i="22"/>
  <c r="AD48" i="22"/>
  <c r="AC48" i="22"/>
  <c r="AB48" i="22"/>
  <c r="AA48" i="22"/>
  <c r="Z48" i="22"/>
  <c r="Y48" i="22"/>
  <c r="X48" i="22"/>
  <c r="W48" i="22"/>
  <c r="V48" i="22"/>
  <c r="U48" i="22"/>
  <c r="T48" i="22"/>
  <c r="S48" i="22"/>
  <c r="R48" i="22"/>
  <c r="Q48" i="22"/>
  <c r="P48" i="22"/>
  <c r="O48" i="22"/>
  <c r="N48" i="22"/>
  <c r="M48" i="22"/>
  <c r="L48" i="22"/>
  <c r="K48" i="22"/>
  <c r="J48" i="22"/>
  <c r="I48" i="22"/>
  <c r="H48" i="22"/>
  <c r="G48" i="22"/>
  <c r="F48" i="22"/>
  <c r="E48" i="22"/>
  <c r="D48" i="22"/>
  <c r="C48" i="22"/>
  <c r="B48" i="22"/>
  <c r="A48" i="22"/>
  <c r="C623" i="22" s="1"/>
  <c r="CB47" i="22"/>
  <c r="CA47" i="22"/>
  <c r="BZ47" i="22"/>
  <c r="BY47" i="22"/>
  <c r="BX47" i="22"/>
  <c r="BW47" i="22"/>
  <c r="BV47" i="22"/>
  <c r="BU47" i="22"/>
  <c r="BT47" i="22"/>
  <c r="BS47" i="22"/>
  <c r="BR47" i="22"/>
  <c r="BQ47" i="22"/>
  <c r="BP47" i="22"/>
  <c r="BO47" i="22"/>
  <c r="BN47" i="22"/>
  <c r="BM47" i="22"/>
  <c r="BL47" i="22"/>
  <c r="BK47" i="22"/>
  <c r="BJ47" i="22"/>
  <c r="BI47" i="22"/>
  <c r="BH47" i="22"/>
  <c r="BG47" i="22"/>
  <c r="BF47" i="22"/>
  <c r="BE47" i="22"/>
  <c r="BD47" i="22"/>
  <c r="BC47" i="22"/>
  <c r="BB47" i="22"/>
  <c r="BA47" i="22"/>
  <c r="AZ47" i="22"/>
  <c r="AY47" i="22"/>
  <c r="AX47" i="22"/>
  <c r="AW47" i="22"/>
  <c r="AV47" i="22"/>
  <c r="AU47" i="22"/>
  <c r="AT47" i="22"/>
  <c r="AS47" i="22"/>
  <c r="AR47" i="22"/>
  <c r="AQ47" i="22"/>
  <c r="AP47" i="22"/>
  <c r="AO47" i="22"/>
  <c r="AN47" i="22"/>
  <c r="AM47" i="22"/>
  <c r="AL47" i="22"/>
  <c r="AK47" i="22"/>
  <c r="AJ47" i="22"/>
  <c r="AI47" i="22"/>
  <c r="AH47" i="22"/>
  <c r="AG47" i="22"/>
  <c r="AF47" i="22"/>
  <c r="AE47" i="22"/>
  <c r="AD47" i="22"/>
  <c r="AC47" i="22"/>
  <c r="AB47" i="22"/>
  <c r="AA47" i="22"/>
  <c r="Z47" i="22"/>
  <c r="Y47" i="22"/>
  <c r="X47" i="22"/>
  <c r="W47" i="22"/>
  <c r="V47" i="22"/>
  <c r="U47" i="22"/>
  <c r="T47" i="22"/>
  <c r="S47" i="22"/>
  <c r="R47" i="22"/>
  <c r="Q47" i="22"/>
  <c r="P47" i="22"/>
  <c r="O47" i="22"/>
  <c r="N47" i="22"/>
  <c r="M47" i="22"/>
  <c r="L47" i="22"/>
  <c r="K47" i="22"/>
  <c r="J47" i="22"/>
  <c r="I47" i="22"/>
  <c r="H47" i="22"/>
  <c r="G47" i="22"/>
  <c r="F47" i="22"/>
  <c r="E47" i="22"/>
  <c r="D47" i="22"/>
  <c r="C47" i="22"/>
  <c r="B47" i="22"/>
  <c r="A47" i="22"/>
  <c r="C622" i="22" s="1"/>
  <c r="CB46" i="22"/>
  <c r="CA46" i="22"/>
  <c r="BZ46" i="22"/>
  <c r="BY46" i="22"/>
  <c r="BX46" i="22"/>
  <c r="BW46" i="22"/>
  <c r="BV46" i="22"/>
  <c r="BU46" i="22"/>
  <c r="BT46" i="22"/>
  <c r="BS46" i="22"/>
  <c r="BR46" i="22"/>
  <c r="BQ46" i="22"/>
  <c r="BP46" i="22"/>
  <c r="BO46" i="22"/>
  <c r="BN46" i="22"/>
  <c r="BM46" i="22"/>
  <c r="BL46" i="22"/>
  <c r="BK46" i="22"/>
  <c r="BJ46" i="22"/>
  <c r="BI46" i="22"/>
  <c r="BH46" i="22"/>
  <c r="BG46" i="22"/>
  <c r="BF46" i="22"/>
  <c r="BE46" i="22"/>
  <c r="BD46" i="22"/>
  <c r="BC46" i="22"/>
  <c r="BB46" i="22"/>
  <c r="BA46" i="22"/>
  <c r="AZ46" i="22"/>
  <c r="AY46" i="22"/>
  <c r="AX46" i="22"/>
  <c r="AW46" i="22"/>
  <c r="AV46" i="22"/>
  <c r="AU46" i="22"/>
  <c r="AT46" i="22"/>
  <c r="AS46" i="22"/>
  <c r="AR46" i="22"/>
  <c r="AQ46" i="22"/>
  <c r="AP46" i="22"/>
  <c r="AO46" i="22"/>
  <c r="AN46" i="22"/>
  <c r="AM46" i="22"/>
  <c r="AL46" i="22"/>
  <c r="AK46" i="22"/>
  <c r="AJ46" i="22"/>
  <c r="AI46" i="22"/>
  <c r="AH46" i="22"/>
  <c r="AG46" i="22"/>
  <c r="AF46" i="22"/>
  <c r="AE46" i="22"/>
  <c r="AD46" i="22"/>
  <c r="AC46" i="22"/>
  <c r="AB46" i="22"/>
  <c r="AA46" i="22"/>
  <c r="Z46" i="22"/>
  <c r="Y46" i="22"/>
  <c r="X46" i="22"/>
  <c r="W46" i="22"/>
  <c r="V46" i="22"/>
  <c r="U46" i="22"/>
  <c r="T46" i="22"/>
  <c r="S46" i="22"/>
  <c r="R46" i="22"/>
  <c r="Q46" i="22"/>
  <c r="P46" i="22"/>
  <c r="O46" i="22"/>
  <c r="N46" i="22"/>
  <c r="M46" i="22"/>
  <c r="L46" i="22"/>
  <c r="K46" i="22"/>
  <c r="J46" i="22"/>
  <c r="I46" i="22"/>
  <c r="H46" i="22"/>
  <c r="G46" i="22"/>
  <c r="F46" i="22"/>
  <c r="E46" i="22"/>
  <c r="D46" i="22"/>
  <c r="C46" i="22"/>
  <c r="B46" i="22"/>
  <c r="A46" i="22"/>
  <c r="C621" i="22" s="1"/>
  <c r="CB45" i="22"/>
  <c r="CA45" i="22"/>
  <c r="BZ45" i="22"/>
  <c r="BY45" i="22"/>
  <c r="BX45" i="22"/>
  <c r="BW45" i="22"/>
  <c r="BV45" i="22"/>
  <c r="BU45" i="22"/>
  <c r="BT45" i="22"/>
  <c r="BS45" i="22"/>
  <c r="BR45" i="22"/>
  <c r="BQ45" i="22"/>
  <c r="BP45" i="22"/>
  <c r="BO45" i="22"/>
  <c r="BN45" i="22"/>
  <c r="BM45" i="22"/>
  <c r="BL45" i="22"/>
  <c r="BK45" i="22"/>
  <c r="BJ45" i="22"/>
  <c r="BI45" i="22"/>
  <c r="BH45" i="22"/>
  <c r="BG45" i="22"/>
  <c r="BF45" i="22"/>
  <c r="BE45" i="22"/>
  <c r="BD45" i="22"/>
  <c r="BC45" i="22"/>
  <c r="BB45" i="22"/>
  <c r="BA45" i="22"/>
  <c r="AZ45" i="22"/>
  <c r="AY45" i="22"/>
  <c r="AX45" i="22"/>
  <c r="AW45" i="22"/>
  <c r="AV45" i="22"/>
  <c r="AU45" i="22"/>
  <c r="AT45" i="22"/>
  <c r="AS45" i="22"/>
  <c r="AR45" i="22"/>
  <c r="AQ45" i="22"/>
  <c r="AP45" i="22"/>
  <c r="AO45" i="22"/>
  <c r="AN45" i="22"/>
  <c r="AM45" i="22"/>
  <c r="AL45" i="22"/>
  <c r="AK45" i="22"/>
  <c r="AJ45" i="22"/>
  <c r="AI45" i="22"/>
  <c r="AH45" i="22"/>
  <c r="AG45" i="22"/>
  <c r="AF45" i="22"/>
  <c r="AE45" i="22"/>
  <c r="AD45" i="22"/>
  <c r="AC45" i="22"/>
  <c r="AB45" i="22"/>
  <c r="AA45" i="22"/>
  <c r="Z45" i="22"/>
  <c r="Y45" i="22"/>
  <c r="X45" i="22"/>
  <c r="W45" i="22"/>
  <c r="V45" i="22"/>
  <c r="U45" i="22"/>
  <c r="T45" i="22"/>
  <c r="S45" i="22"/>
  <c r="R45" i="22"/>
  <c r="Q45" i="22"/>
  <c r="P45" i="22"/>
  <c r="O45" i="22"/>
  <c r="N45" i="22"/>
  <c r="M45" i="22"/>
  <c r="L45" i="22"/>
  <c r="K45" i="22"/>
  <c r="J45" i="22"/>
  <c r="I45" i="22"/>
  <c r="H45" i="22"/>
  <c r="G45" i="22"/>
  <c r="F45" i="22"/>
  <c r="E45" i="22"/>
  <c r="D45" i="22"/>
  <c r="C45" i="22"/>
  <c r="B45" i="22"/>
  <c r="A45" i="22"/>
  <c r="C620" i="22" s="1"/>
  <c r="CB44" i="22"/>
  <c r="CA44" i="22"/>
  <c r="BZ44" i="22"/>
  <c r="BY44" i="22"/>
  <c r="BX44" i="22"/>
  <c r="BW44" i="22"/>
  <c r="BV44" i="22"/>
  <c r="BU44" i="22"/>
  <c r="BT44" i="22"/>
  <c r="BS44" i="22"/>
  <c r="BR44" i="22"/>
  <c r="BQ44" i="22"/>
  <c r="BP44" i="22"/>
  <c r="BO44" i="22"/>
  <c r="BN44" i="22"/>
  <c r="BM44" i="22"/>
  <c r="BL44" i="22"/>
  <c r="BK44" i="22"/>
  <c r="BJ44" i="22"/>
  <c r="BI44" i="22"/>
  <c r="BH44" i="22"/>
  <c r="BG44" i="22"/>
  <c r="BF44" i="22"/>
  <c r="BE44" i="22"/>
  <c r="BD44" i="22"/>
  <c r="BC44" i="22"/>
  <c r="BB44" i="22"/>
  <c r="BA44" i="22"/>
  <c r="AZ44" i="22"/>
  <c r="AY44" i="22"/>
  <c r="AX44" i="22"/>
  <c r="AW44" i="22"/>
  <c r="AV44" i="22"/>
  <c r="AU44" i="22"/>
  <c r="AT44" i="22"/>
  <c r="AS44" i="22"/>
  <c r="AR44" i="22"/>
  <c r="AQ44" i="22"/>
  <c r="AP44" i="22"/>
  <c r="AO44" i="22"/>
  <c r="AN44" i="22"/>
  <c r="AM44" i="22"/>
  <c r="AL44" i="22"/>
  <c r="AK44" i="22"/>
  <c r="AJ44" i="22"/>
  <c r="AI44" i="22"/>
  <c r="AH44" i="22"/>
  <c r="AG44" i="22"/>
  <c r="AF44" i="22"/>
  <c r="AE44" i="22"/>
  <c r="AD44" i="22"/>
  <c r="AC44" i="22"/>
  <c r="AB44" i="22"/>
  <c r="AA44" i="22"/>
  <c r="Z44" i="22"/>
  <c r="Y44" i="22"/>
  <c r="X44" i="22"/>
  <c r="W44" i="22"/>
  <c r="V44" i="22"/>
  <c r="U44" i="22"/>
  <c r="T44" i="22"/>
  <c r="S44" i="22"/>
  <c r="R44" i="22"/>
  <c r="Q44" i="22"/>
  <c r="P44" i="22"/>
  <c r="O44" i="22"/>
  <c r="N44" i="22"/>
  <c r="M44" i="22"/>
  <c r="L44" i="22"/>
  <c r="K44" i="22"/>
  <c r="J44" i="22"/>
  <c r="I44" i="22"/>
  <c r="H44" i="22"/>
  <c r="G44" i="22"/>
  <c r="F44" i="22"/>
  <c r="E44" i="22"/>
  <c r="D44" i="22"/>
  <c r="C44" i="22"/>
  <c r="B44" i="22"/>
  <c r="A44" i="22"/>
  <c r="CB43" i="22"/>
  <c r="CA43" i="22"/>
  <c r="BZ43" i="22"/>
  <c r="BY43" i="22"/>
  <c r="BX43" i="22"/>
  <c r="BW43" i="22"/>
  <c r="BV43" i="22"/>
  <c r="BU43" i="22"/>
  <c r="BT43" i="22"/>
  <c r="BS43" i="22"/>
  <c r="BR43" i="22"/>
  <c r="BQ43" i="22"/>
  <c r="BP43" i="22"/>
  <c r="BO43" i="22"/>
  <c r="BN43" i="22"/>
  <c r="BM43" i="22"/>
  <c r="BL43" i="22"/>
  <c r="BK43" i="22"/>
  <c r="BJ43" i="22"/>
  <c r="BI43" i="22"/>
  <c r="BH43" i="22"/>
  <c r="BG43" i="22"/>
  <c r="BF43" i="22"/>
  <c r="BE43" i="22"/>
  <c r="BD43" i="22"/>
  <c r="BC43" i="22"/>
  <c r="BB43" i="22"/>
  <c r="BA43" i="22"/>
  <c r="AZ43" i="22"/>
  <c r="AY43" i="22"/>
  <c r="AX43" i="22"/>
  <c r="AW43" i="22"/>
  <c r="AV43" i="22"/>
  <c r="AU43" i="22"/>
  <c r="AT43" i="22"/>
  <c r="AS43" i="22"/>
  <c r="AR43" i="22"/>
  <c r="AQ43" i="22"/>
  <c r="AP43" i="22"/>
  <c r="AO43" i="22"/>
  <c r="AN43" i="22"/>
  <c r="AM43" i="22"/>
  <c r="AL43" i="22"/>
  <c r="AK43" i="22"/>
  <c r="AJ43" i="22"/>
  <c r="AI43" i="22"/>
  <c r="AH43" i="22"/>
  <c r="AG43" i="22"/>
  <c r="AF43" i="22"/>
  <c r="AE43" i="22"/>
  <c r="AD43" i="22"/>
  <c r="AC43" i="22"/>
  <c r="AB43" i="22"/>
  <c r="AA43" i="22"/>
  <c r="Z43" i="22"/>
  <c r="Y43" i="22"/>
  <c r="X43" i="22"/>
  <c r="W43" i="22"/>
  <c r="V43" i="22"/>
  <c r="U43" i="22"/>
  <c r="T43" i="22"/>
  <c r="S43" i="22"/>
  <c r="R43" i="22"/>
  <c r="Q43" i="22"/>
  <c r="P43" i="22"/>
  <c r="O43" i="22"/>
  <c r="N43" i="22"/>
  <c r="M43" i="22"/>
  <c r="L43" i="22"/>
  <c r="K43" i="22"/>
  <c r="J43" i="22"/>
  <c r="I43" i="22"/>
  <c r="H43" i="22"/>
  <c r="G43" i="22"/>
  <c r="F43" i="22"/>
  <c r="E43" i="22"/>
  <c r="D43" i="22"/>
  <c r="C43" i="22"/>
  <c r="B43" i="22"/>
  <c r="A43" i="22"/>
  <c r="CB42" i="22"/>
  <c r="CA42" i="22"/>
  <c r="BZ42" i="22"/>
  <c r="BY42" i="22"/>
  <c r="BX42" i="22"/>
  <c r="BW42" i="22"/>
  <c r="BV42" i="22"/>
  <c r="BU42" i="22"/>
  <c r="BT42" i="22"/>
  <c r="BS42" i="22"/>
  <c r="BR42" i="22"/>
  <c r="BQ42" i="22"/>
  <c r="BP42" i="22"/>
  <c r="BO42" i="22"/>
  <c r="BN42" i="22"/>
  <c r="BM42" i="22"/>
  <c r="BL42" i="22"/>
  <c r="BK42" i="22"/>
  <c r="BJ42" i="22"/>
  <c r="BI42" i="22"/>
  <c r="BH42" i="22"/>
  <c r="BG42" i="22"/>
  <c r="BF42" i="22"/>
  <c r="BE42" i="22"/>
  <c r="BD42" i="22"/>
  <c r="BC42" i="22"/>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AD42" i="22"/>
  <c r="AC42" i="22"/>
  <c r="AB42" i="22"/>
  <c r="AA42" i="22"/>
  <c r="Z42" i="22"/>
  <c r="Y42" i="22"/>
  <c r="X42" i="22"/>
  <c r="W42" i="22"/>
  <c r="V42" i="22"/>
  <c r="U42" i="22"/>
  <c r="T42" i="22"/>
  <c r="S42" i="22"/>
  <c r="R42" i="22"/>
  <c r="Q42" i="22"/>
  <c r="P42" i="22"/>
  <c r="O42" i="22"/>
  <c r="N42" i="22"/>
  <c r="M42" i="22"/>
  <c r="L42" i="22"/>
  <c r="K42" i="22"/>
  <c r="J42" i="22"/>
  <c r="I42" i="22"/>
  <c r="H42" i="22"/>
  <c r="G42" i="22"/>
  <c r="F42" i="22"/>
  <c r="E42" i="22"/>
  <c r="D42" i="22"/>
  <c r="C42" i="22"/>
  <c r="B42" i="22"/>
  <c r="A42" i="22"/>
  <c r="CB41" i="22"/>
  <c r="CA41" i="22"/>
  <c r="BZ41" i="22"/>
  <c r="BY41" i="22"/>
  <c r="BX41" i="22"/>
  <c r="BW41" i="22"/>
  <c r="BV41" i="22"/>
  <c r="BU41" i="22"/>
  <c r="BT41" i="22"/>
  <c r="BS41" i="22"/>
  <c r="BR41" i="22"/>
  <c r="BQ41" i="22"/>
  <c r="BP41" i="22"/>
  <c r="BO41" i="22"/>
  <c r="BN41" i="22"/>
  <c r="BM41" i="22"/>
  <c r="BL41" i="22"/>
  <c r="BK41" i="22"/>
  <c r="BJ41" i="22"/>
  <c r="BI41" i="22"/>
  <c r="BH41" i="22"/>
  <c r="BG41" i="22"/>
  <c r="BF41" i="22"/>
  <c r="BE41" i="22"/>
  <c r="BD41" i="22"/>
  <c r="BC41" i="22"/>
  <c r="BB41" i="22"/>
  <c r="BA41" i="22"/>
  <c r="AZ41" i="22"/>
  <c r="AY41" i="22"/>
  <c r="AX41" i="22"/>
  <c r="AW41" i="22"/>
  <c r="AV41" i="22"/>
  <c r="AU41" i="22"/>
  <c r="AT41" i="22"/>
  <c r="AS41" i="22"/>
  <c r="AR41" i="22"/>
  <c r="AQ41" i="22"/>
  <c r="AP41" i="22"/>
  <c r="AO41" i="22"/>
  <c r="AN41" i="22"/>
  <c r="AM41" i="22"/>
  <c r="AL41" i="22"/>
  <c r="AK41" i="22"/>
  <c r="AJ41" i="22"/>
  <c r="AI41" i="22"/>
  <c r="AH41" i="22"/>
  <c r="AG41" i="22"/>
  <c r="AF41" i="22"/>
  <c r="AE41" i="22"/>
  <c r="AD41" i="22"/>
  <c r="AC41" i="22"/>
  <c r="AB41" i="22"/>
  <c r="AA41" i="22"/>
  <c r="Z41" i="22"/>
  <c r="Y41" i="22"/>
  <c r="X41" i="22"/>
  <c r="W41" i="22"/>
  <c r="V41" i="22"/>
  <c r="U41" i="22"/>
  <c r="T41" i="22"/>
  <c r="S41" i="22"/>
  <c r="R41" i="22"/>
  <c r="Q41" i="22"/>
  <c r="P41" i="22"/>
  <c r="O41" i="22"/>
  <c r="N41" i="22"/>
  <c r="M41" i="22"/>
  <c r="L41" i="22"/>
  <c r="K41" i="22"/>
  <c r="J41" i="22"/>
  <c r="I41" i="22"/>
  <c r="H41" i="22"/>
  <c r="G41" i="22"/>
  <c r="F41" i="22"/>
  <c r="E41" i="22"/>
  <c r="D41" i="22"/>
  <c r="C41" i="22"/>
  <c r="B41" i="22"/>
  <c r="A41" i="22"/>
  <c r="C616" i="22" s="1"/>
  <c r="CB40" i="22"/>
  <c r="CA40" i="22"/>
  <c r="BZ40" i="22"/>
  <c r="BY40" i="22"/>
  <c r="BX40" i="22"/>
  <c r="BW40" i="22"/>
  <c r="BV40" i="22"/>
  <c r="BU40" i="22"/>
  <c r="BT40" i="22"/>
  <c r="BS40" i="22"/>
  <c r="BR40" i="22"/>
  <c r="BQ40" i="22"/>
  <c r="BP40" i="22"/>
  <c r="BO40" i="22"/>
  <c r="BN40" i="22"/>
  <c r="BM40" i="22"/>
  <c r="BL40" i="22"/>
  <c r="BK40" i="22"/>
  <c r="BJ40" i="22"/>
  <c r="BI40" i="22"/>
  <c r="BH40" i="22"/>
  <c r="BG40" i="22"/>
  <c r="BF40" i="22"/>
  <c r="BE40" i="22"/>
  <c r="BD40" i="22"/>
  <c r="BC40" i="22"/>
  <c r="BB40" i="22"/>
  <c r="BA40" i="22"/>
  <c r="AZ40" i="22"/>
  <c r="AY40" i="22"/>
  <c r="AX40" i="22"/>
  <c r="AW40" i="22"/>
  <c r="AV40" i="22"/>
  <c r="AU40" i="22"/>
  <c r="AT40" i="22"/>
  <c r="AS40" i="22"/>
  <c r="AR40" i="22"/>
  <c r="AQ40" i="22"/>
  <c r="AP40" i="22"/>
  <c r="AO40" i="22"/>
  <c r="AN40" i="22"/>
  <c r="AM40" i="22"/>
  <c r="AL40" i="22"/>
  <c r="AK40" i="22"/>
  <c r="AJ40" i="22"/>
  <c r="AI40" i="22"/>
  <c r="AH40" i="22"/>
  <c r="AG40" i="22"/>
  <c r="AF40" i="22"/>
  <c r="AE40" i="22"/>
  <c r="AD40" i="22"/>
  <c r="AC40" i="22"/>
  <c r="AB40" i="22"/>
  <c r="AA40" i="22"/>
  <c r="Z40" i="22"/>
  <c r="Y40" i="22"/>
  <c r="X40" i="22"/>
  <c r="W40" i="22"/>
  <c r="V40" i="22"/>
  <c r="U40" i="22"/>
  <c r="T40" i="22"/>
  <c r="S40" i="22"/>
  <c r="R40" i="22"/>
  <c r="Q40" i="22"/>
  <c r="P40" i="22"/>
  <c r="O40" i="22"/>
  <c r="N40" i="22"/>
  <c r="M40" i="22"/>
  <c r="L40" i="22"/>
  <c r="K40" i="22"/>
  <c r="J40" i="22"/>
  <c r="I40" i="22"/>
  <c r="H40" i="22"/>
  <c r="G40" i="22"/>
  <c r="F40" i="22"/>
  <c r="E40" i="22"/>
  <c r="D40" i="22"/>
  <c r="C40" i="22"/>
  <c r="B40" i="22"/>
  <c r="A40" i="22"/>
  <c r="CB39" i="22"/>
  <c r="CA39" i="22"/>
  <c r="BZ39" i="22"/>
  <c r="BY39" i="22"/>
  <c r="BX39" i="22"/>
  <c r="BW39" i="22"/>
  <c r="BV39" i="22"/>
  <c r="BU39" i="22"/>
  <c r="BT39" i="22"/>
  <c r="BS39" i="22"/>
  <c r="BR39" i="22"/>
  <c r="BQ39" i="22"/>
  <c r="BP39" i="22"/>
  <c r="BO39" i="22"/>
  <c r="BN39" i="22"/>
  <c r="BM39" i="22"/>
  <c r="BL39" i="22"/>
  <c r="BK39" i="22"/>
  <c r="BJ39" i="22"/>
  <c r="BI39" i="22"/>
  <c r="BH39" i="22"/>
  <c r="BG39" i="22"/>
  <c r="BF39" i="22"/>
  <c r="BE39" i="22"/>
  <c r="BD39" i="22"/>
  <c r="BC39" i="22"/>
  <c r="BB39" i="22"/>
  <c r="BA39" i="22"/>
  <c r="AZ39" i="22"/>
  <c r="AY39" i="22"/>
  <c r="AX39" i="22"/>
  <c r="AW39" i="22"/>
  <c r="AV39" i="22"/>
  <c r="AU39" i="22"/>
  <c r="AT39" i="22"/>
  <c r="AS39" i="22"/>
  <c r="AR39" i="22"/>
  <c r="AQ39" i="22"/>
  <c r="AP39" i="22"/>
  <c r="AO39" i="22"/>
  <c r="AN39" i="22"/>
  <c r="AM39" i="22"/>
  <c r="AL39" i="22"/>
  <c r="AK39" i="22"/>
  <c r="AJ39" i="22"/>
  <c r="AI39" i="22"/>
  <c r="AH39" i="22"/>
  <c r="AG39" i="22"/>
  <c r="AF39" i="22"/>
  <c r="AE39" i="22"/>
  <c r="AD39" i="22"/>
  <c r="AC39" i="22"/>
  <c r="AB39" i="22"/>
  <c r="AA39" i="22"/>
  <c r="Z39" i="22"/>
  <c r="Y39" i="22"/>
  <c r="X39" i="22"/>
  <c r="W39" i="22"/>
  <c r="V39" i="22"/>
  <c r="U39" i="22"/>
  <c r="T39" i="22"/>
  <c r="S39" i="22"/>
  <c r="R39" i="22"/>
  <c r="Q39" i="22"/>
  <c r="P39" i="22"/>
  <c r="O39" i="22"/>
  <c r="N39" i="22"/>
  <c r="M39" i="22"/>
  <c r="L39" i="22"/>
  <c r="K39" i="22"/>
  <c r="J39" i="22"/>
  <c r="I39" i="22"/>
  <c r="H39" i="22"/>
  <c r="G39" i="22"/>
  <c r="F39" i="22"/>
  <c r="E39" i="22"/>
  <c r="D39" i="22"/>
  <c r="C39" i="22"/>
  <c r="B39" i="22"/>
  <c r="A39" i="22"/>
  <c r="CB38" i="22"/>
  <c r="CA38" i="22"/>
  <c r="BZ38" i="22"/>
  <c r="BY38" i="22"/>
  <c r="BX38" i="22"/>
  <c r="BW38" i="22"/>
  <c r="BV38" i="22"/>
  <c r="BU38" i="22"/>
  <c r="BT38" i="22"/>
  <c r="BS38" i="22"/>
  <c r="BR38" i="22"/>
  <c r="BQ38" i="22"/>
  <c r="BP38" i="22"/>
  <c r="BO38" i="22"/>
  <c r="BN38" i="22"/>
  <c r="BM38" i="22"/>
  <c r="BL38" i="22"/>
  <c r="BK38" i="22"/>
  <c r="BJ38" i="22"/>
  <c r="BI38" i="22"/>
  <c r="BH38" i="22"/>
  <c r="BG38" i="22"/>
  <c r="BF38" i="22"/>
  <c r="BE38" i="22"/>
  <c r="BD38" i="22"/>
  <c r="BC38"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AD38" i="22"/>
  <c r="AC38" i="22"/>
  <c r="AB38" i="22"/>
  <c r="AA38" i="22"/>
  <c r="Z38" i="22"/>
  <c r="Y38" i="22"/>
  <c r="X38" i="22"/>
  <c r="W38" i="22"/>
  <c r="V38" i="22"/>
  <c r="U38" i="22"/>
  <c r="T38" i="22"/>
  <c r="S38" i="22"/>
  <c r="R38" i="22"/>
  <c r="Q38" i="22"/>
  <c r="P38" i="22"/>
  <c r="O38" i="22"/>
  <c r="N38" i="22"/>
  <c r="M38" i="22"/>
  <c r="L38" i="22"/>
  <c r="K38" i="22"/>
  <c r="J38" i="22"/>
  <c r="I38" i="22"/>
  <c r="H38" i="22"/>
  <c r="G38" i="22"/>
  <c r="F38" i="22"/>
  <c r="E38" i="22"/>
  <c r="D38" i="22"/>
  <c r="C38" i="22"/>
  <c r="B38" i="22"/>
  <c r="A38" i="22"/>
  <c r="CB37" i="22"/>
  <c r="CA37" i="22"/>
  <c r="BZ37" i="22"/>
  <c r="BY37" i="22"/>
  <c r="BX37" i="22"/>
  <c r="BW37" i="22"/>
  <c r="BV37" i="22"/>
  <c r="BU37" i="22"/>
  <c r="BT37" i="22"/>
  <c r="BS37" i="22"/>
  <c r="BR37" i="22"/>
  <c r="BQ37" i="22"/>
  <c r="BP37" i="22"/>
  <c r="BO37" i="22"/>
  <c r="BN37" i="22"/>
  <c r="BM37" i="22"/>
  <c r="BL37" i="22"/>
  <c r="BK37" i="22"/>
  <c r="BJ37" i="22"/>
  <c r="BI37" i="22"/>
  <c r="BH37" i="22"/>
  <c r="BG37" i="22"/>
  <c r="BF37" i="22"/>
  <c r="BE37" i="22"/>
  <c r="BD37" i="22"/>
  <c r="BC37" i="22"/>
  <c r="BB37" i="22"/>
  <c r="BA37" i="22"/>
  <c r="AZ37" i="22"/>
  <c r="AY37" i="22"/>
  <c r="AX37" i="22"/>
  <c r="AW37" i="22"/>
  <c r="AV37" i="22"/>
  <c r="AU37" i="22"/>
  <c r="AT37" i="22"/>
  <c r="AS37" i="22"/>
  <c r="AR37" i="22"/>
  <c r="AQ37" i="22"/>
  <c r="AP37" i="22"/>
  <c r="AO37" i="22"/>
  <c r="AN37" i="22"/>
  <c r="AM37" i="22"/>
  <c r="AL37" i="22"/>
  <c r="AK37" i="22"/>
  <c r="AJ37" i="22"/>
  <c r="AI37" i="22"/>
  <c r="AH37" i="22"/>
  <c r="AG37" i="22"/>
  <c r="AF37" i="22"/>
  <c r="AE37" i="22"/>
  <c r="AD37" i="22"/>
  <c r="AC37" i="22"/>
  <c r="AB37" i="22"/>
  <c r="AA37" i="22"/>
  <c r="Z37" i="22"/>
  <c r="Y37" i="22"/>
  <c r="X37" i="22"/>
  <c r="W37" i="22"/>
  <c r="V37" i="22"/>
  <c r="U37" i="22"/>
  <c r="T37" i="22"/>
  <c r="S37" i="22"/>
  <c r="R37" i="22"/>
  <c r="Q37" i="22"/>
  <c r="P37" i="22"/>
  <c r="O37" i="22"/>
  <c r="N37" i="22"/>
  <c r="M37" i="22"/>
  <c r="L37" i="22"/>
  <c r="K37" i="22"/>
  <c r="J37" i="22"/>
  <c r="I37" i="22"/>
  <c r="H37" i="22"/>
  <c r="G37" i="22"/>
  <c r="F37" i="22"/>
  <c r="E37" i="22"/>
  <c r="D37" i="22"/>
  <c r="C37" i="22"/>
  <c r="B37" i="22"/>
  <c r="A37" i="22"/>
  <c r="C612" i="22" s="1"/>
  <c r="CB36" i="22"/>
  <c r="CA36" i="22"/>
  <c r="BZ36" i="22"/>
  <c r="BY36" i="22"/>
  <c r="BX36" i="22"/>
  <c r="BW36" i="22"/>
  <c r="BV36" i="22"/>
  <c r="BU36" i="22"/>
  <c r="BT36" i="22"/>
  <c r="BS36" i="22"/>
  <c r="BR36" i="22"/>
  <c r="BQ36" i="22"/>
  <c r="BP36" i="22"/>
  <c r="BO36" i="22"/>
  <c r="BN36" i="22"/>
  <c r="BM36" i="22"/>
  <c r="BL36" i="22"/>
  <c r="BK36" i="22"/>
  <c r="BJ36" i="22"/>
  <c r="BI36" i="22"/>
  <c r="BH36" i="22"/>
  <c r="BG36" i="22"/>
  <c r="BF36" i="22"/>
  <c r="BE36" i="22"/>
  <c r="BD36" i="22"/>
  <c r="BC36" i="22"/>
  <c r="BB36" i="22"/>
  <c r="BA36" i="22"/>
  <c r="AZ36" i="22"/>
  <c r="AY36" i="22"/>
  <c r="AX36" i="22"/>
  <c r="AW36" i="22"/>
  <c r="AV36" i="22"/>
  <c r="AU36" i="22"/>
  <c r="AT36" i="22"/>
  <c r="AS36" i="22"/>
  <c r="AR36" i="22"/>
  <c r="AQ36" i="22"/>
  <c r="AP36" i="22"/>
  <c r="AO36" i="22"/>
  <c r="AN36" i="22"/>
  <c r="AM36" i="22"/>
  <c r="AL36" i="22"/>
  <c r="AK36" i="22"/>
  <c r="AJ36" i="22"/>
  <c r="AI36" i="22"/>
  <c r="AH36" i="22"/>
  <c r="AG36" i="22"/>
  <c r="AF36" i="22"/>
  <c r="AE36" i="22"/>
  <c r="AD36" i="22"/>
  <c r="AC36" i="22"/>
  <c r="AB36" i="22"/>
  <c r="AA36" i="22"/>
  <c r="Z36" i="22"/>
  <c r="Y36" i="22"/>
  <c r="X36" i="22"/>
  <c r="W36" i="22"/>
  <c r="V36" i="22"/>
  <c r="U36" i="22"/>
  <c r="T36" i="22"/>
  <c r="S36" i="22"/>
  <c r="R36" i="22"/>
  <c r="Q36" i="22"/>
  <c r="P36" i="22"/>
  <c r="O36" i="22"/>
  <c r="N36" i="22"/>
  <c r="M36" i="22"/>
  <c r="L36" i="22"/>
  <c r="K36" i="22"/>
  <c r="J36" i="22"/>
  <c r="I36" i="22"/>
  <c r="H36" i="22"/>
  <c r="G36" i="22"/>
  <c r="F36" i="22"/>
  <c r="E36" i="22"/>
  <c r="D36" i="22"/>
  <c r="C36" i="22"/>
  <c r="B36" i="22"/>
  <c r="A36" i="22"/>
  <c r="C611" i="22" s="1"/>
  <c r="CB35" i="22"/>
  <c r="CA35" i="22"/>
  <c r="BZ35" i="22"/>
  <c r="BY35" i="22"/>
  <c r="BX35" i="22"/>
  <c r="BW35" i="22"/>
  <c r="BV35" i="22"/>
  <c r="BU35" i="22"/>
  <c r="BT35" i="22"/>
  <c r="BS35" i="22"/>
  <c r="BR35" i="22"/>
  <c r="BQ35" i="22"/>
  <c r="BP35" i="22"/>
  <c r="BO35" i="22"/>
  <c r="BN35" i="22"/>
  <c r="BM35" i="22"/>
  <c r="BL35" i="22"/>
  <c r="BK35" i="22"/>
  <c r="BJ35" i="22"/>
  <c r="BI35" i="22"/>
  <c r="BH35" i="22"/>
  <c r="BG35" i="22"/>
  <c r="BF35" i="22"/>
  <c r="BE35" i="22"/>
  <c r="BD35" i="22"/>
  <c r="BC35" i="22"/>
  <c r="BB35" i="22"/>
  <c r="BA35" i="22"/>
  <c r="AZ35" i="22"/>
  <c r="AY35" i="22"/>
  <c r="AX35" i="22"/>
  <c r="AW35" i="22"/>
  <c r="AV35" i="22"/>
  <c r="AU35" i="22"/>
  <c r="AT35" i="22"/>
  <c r="AS35" i="22"/>
  <c r="AR35" i="22"/>
  <c r="AQ35" i="22"/>
  <c r="AP35" i="22"/>
  <c r="AO35" i="22"/>
  <c r="AN35" i="22"/>
  <c r="AM35" i="22"/>
  <c r="AL35" i="22"/>
  <c r="AK35" i="22"/>
  <c r="AJ35" i="22"/>
  <c r="AI35" i="22"/>
  <c r="AH35" i="22"/>
  <c r="AG35" i="22"/>
  <c r="AF35" i="22"/>
  <c r="AE35" i="22"/>
  <c r="AD35" i="22"/>
  <c r="AC35" i="22"/>
  <c r="AB35" i="22"/>
  <c r="AA35" i="22"/>
  <c r="Z35" i="22"/>
  <c r="Y35" i="22"/>
  <c r="X35" i="22"/>
  <c r="W35" i="22"/>
  <c r="V35" i="22"/>
  <c r="U35" i="22"/>
  <c r="T35" i="22"/>
  <c r="S35" i="22"/>
  <c r="R35" i="22"/>
  <c r="Q35" i="22"/>
  <c r="P35" i="22"/>
  <c r="O35" i="22"/>
  <c r="N35" i="22"/>
  <c r="M35" i="22"/>
  <c r="L35" i="22"/>
  <c r="K35" i="22"/>
  <c r="J35" i="22"/>
  <c r="I35" i="22"/>
  <c r="H35" i="22"/>
  <c r="G35" i="22"/>
  <c r="F35" i="22"/>
  <c r="E35" i="22"/>
  <c r="D35" i="22"/>
  <c r="C35" i="22"/>
  <c r="B35" i="22"/>
  <c r="A35" i="22"/>
  <c r="C610" i="22" s="1"/>
  <c r="CB34" i="22"/>
  <c r="CA34" i="22"/>
  <c r="BZ34" i="22"/>
  <c r="BY34" i="22"/>
  <c r="BX34" i="22"/>
  <c r="BW34" i="22"/>
  <c r="BV34" i="22"/>
  <c r="BU34" i="22"/>
  <c r="BT34" i="22"/>
  <c r="BS34" i="22"/>
  <c r="BR34" i="22"/>
  <c r="BQ34" i="22"/>
  <c r="BP34" i="22"/>
  <c r="BO34" i="22"/>
  <c r="BN34" i="22"/>
  <c r="BM34" i="22"/>
  <c r="BL34" i="22"/>
  <c r="BK34" i="22"/>
  <c r="BJ34" i="22"/>
  <c r="BI34" i="22"/>
  <c r="BH34" i="22"/>
  <c r="BG34" i="22"/>
  <c r="BF34" i="22"/>
  <c r="BE34" i="22"/>
  <c r="BD34" i="22"/>
  <c r="BC34" i="22"/>
  <c r="BB34" i="22"/>
  <c r="BA34" i="22"/>
  <c r="AZ34" i="22"/>
  <c r="AY34" i="22"/>
  <c r="AX34" i="22"/>
  <c r="AW34" i="22"/>
  <c r="AV34" i="22"/>
  <c r="AU34" i="22"/>
  <c r="AT34" i="22"/>
  <c r="AS34" i="22"/>
  <c r="AR34" i="22"/>
  <c r="AQ34" i="22"/>
  <c r="AP34" i="22"/>
  <c r="AO34" i="22"/>
  <c r="AN34" i="22"/>
  <c r="AM34" i="22"/>
  <c r="AL34" i="22"/>
  <c r="AK34" i="22"/>
  <c r="AJ34" i="22"/>
  <c r="AI34" i="22"/>
  <c r="AH34" i="22"/>
  <c r="AG34" i="22"/>
  <c r="AF34" i="22"/>
  <c r="AE34" i="22"/>
  <c r="AD34" i="22"/>
  <c r="AC34" i="22"/>
  <c r="AB34" i="22"/>
  <c r="AA34" i="22"/>
  <c r="Z34" i="22"/>
  <c r="Y34" i="22"/>
  <c r="X34" i="22"/>
  <c r="W34" i="22"/>
  <c r="V34" i="22"/>
  <c r="U34" i="22"/>
  <c r="T34" i="22"/>
  <c r="S34" i="22"/>
  <c r="R34" i="22"/>
  <c r="Q34" i="22"/>
  <c r="P34" i="22"/>
  <c r="O34" i="22"/>
  <c r="N34" i="22"/>
  <c r="M34" i="22"/>
  <c r="L34" i="22"/>
  <c r="K34" i="22"/>
  <c r="J34" i="22"/>
  <c r="I34" i="22"/>
  <c r="H34" i="22"/>
  <c r="G34" i="22"/>
  <c r="F34" i="22"/>
  <c r="E34" i="22"/>
  <c r="D34" i="22"/>
  <c r="C34" i="22"/>
  <c r="B34" i="22"/>
  <c r="A34" i="22"/>
  <c r="C609" i="22" s="1"/>
  <c r="CB33" i="22"/>
  <c r="CA33" i="22"/>
  <c r="BZ33" i="22"/>
  <c r="BY33" i="22"/>
  <c r="BX33" i="22"/>
  <c r="BW33" i="22"/>
  <c r="BV33" i="22"/>
  <c r="BU33" i="22"/>
  <c r="BT33" i="22"/>
  <c r="BS33" i="22"/>
  <c r="BR33" i="22"/>
  <c r="BQ33" i="22"/>
  <c r="BP33" i="22"/>
  <c r="BO33" i="22"/>
  <c r="BN33" i="22"/>
  <c r="BM33" i="22"/>
  <c r="BL33" i="22"/>
  <c r="BK33" i="22"/>
  <c r="BJ33" i="22"/>
  <c r="BI33" i="22"/>
  <c r="BH33" i="22"/>
  <c r="BG33" i="22"/>
  <c r="BF33" i="22"/>
  <c r="BE33" i="22"/>
  <c r="BD33" i="22"/>
  <c r="BC33" i="22"/>
  <c r="BB33" i="22"/>
  <c r="BA33" i="22"/>
  <c r="AZ33" i="22"/>
  <c r="AY33" i="22"/>
  <c r="AX33" i="22"/>
  <c r="AW33" i="22"/>
  <c r="AV33" i="22"/>
  <c r="AU33" i="22"/>
  <c r="AT33" i="22"/>
  <c r="AS33" i="22"/>
  <c r="AR33" i="22"/>
  <c r="AQ33" i="22"/>
  <c r="AP33" i="22"/>
  <c r="AO33" i="22"/>
  <c r="AN33" i="22"/>
  <c r="AM33" i="22"/>
  <c r="AL33" i="22"/>
  <c r="AK33" i="22"/>
  <c r="AJ33" i="22"/>
  <c r="AI33" i="22"/>
  <c r="AH33" i="22"/>
  <c r="AG33" i="22"/>
  <c r="AF33" i="22"/>
  <c r="AE33" i="22"/>
  <c r="AD33" i="22"/>
  <c r="AC33" i="22"/>
  <c r="AB33" i="22"/>
  <c r="AA33" i="22"/>
  <c r="Z33" i="22"/>
  <c r="Y33" i="22"/>
  <c r="X33" i="22"/>
  <c r="W33" i="22"/>
  <c r="V33" i="22"/>
  <c r="U33" i="22"/>
  <c r="T33" i="22"/>
  <c r="S33" i="22"/>
  <c r="R33" i="22"/>
  <c r="Q33" i="22"/>
  <c r="P33" i="22"/>
  <c r="O33" i="22"/>
  <c r="N33" i="22"/>
  <c r="M33" i="22"/>
  <c r="L33" i="22"/>
  <c r="K33" i="22"/>
  <c r="J33" i="22"/>
  <c r="I33" i="22"/>
  <c r="H33" i="22"/>
  <c r="G33" i="22"/>
  <c r="F33" i="22"/>
  <c r="E33" i="22"/>
  <c r="D33" i="22"/>
  <c r="C33" i="22"/>
  <c r="B33" i="22"/>
  <c r="A33" i="22"/>
  <c r="C608" i="22" s="1"/>
  <c r="CB32" i="22"/>
  <c r="CA32" i="22"/>
  <c r="BZ32" i="22"/>
  <c r="BY32" i="22"/>
  <c r="BX32" i="22"/>
  <c r="BW32" i="22"/>
  <c r="BV32" i="22"/>
  <c r="BU32" i="22"/>
  <c r="BT32" i="22"/>
  <c r="BS32" i="22"/>
  <c r="BR32" i="22"/>
  <c r="BQ32" i="22"/>
  <c r="BP32" i="22"/>
  <c r="BO32" i="22"/>
  <c r="BN32" i="22"/>
  <c r="BM32" i="22"/>
  <c r="BL32" i="22"/>
  <c r="BK32" i="22"/>
  <c r="BJ32" i="22"/>
  <c r="BI32" i="22"/>
  <c r="BH32" i="22"/>
  <c r="BG32" i="22"/>
  <c r="BF32" i="22"/>
  <c r="BE32" i="22"/>
  <c r="BD32" i="22"/>
  <c r="BC32" i="22"/>
  <c r="BB32" i="22"/>
  <c r="BA32" i="22"/>
  <c r="AZ32" i="22"/>
  <c r="AY32" i="22"/>
  <c r="AX32" i="22"/>
  <c r="AW32" i="22"/>
  <c r="AV32" i="22"/>
  <c r="AU32" i="22"/>
  <c r="AT32" i="22"/>
  <c r="AS32" i="22"/>
  <c r="AR32" i="22"/>
  <c r="AQ32" i="22"/>
  <c r="AP32" i="22"/>
  <c r="AO32" i="22"/>
  <c r="AN32" i="22"/>
  <c r="AM32" i="22"/>
  <c r="AL32" i="22"/>
  <c r="AK32" i="22"/>
  <c r="AJ32" i="22"/>
  <c r="AI32" i="22"/>
  <c r="AH32" i="22"/>
  <c r="AG32" i="22"/>
  <c r="AF32" i="22"/>
  <c r="AE32" i="22"/>
  <c r="AD32" i="22"/>
  <c r="AC32" i="22"/>
  <c r="AB32" i="22"/>
  <c r="AA32" i="22"/>
  <c r="Z32" i="22"/>
  <c r="Y32" i="22"/>
  <c r="X32" i="22"/>
  <c r="W32" i="22"/>
  <c r="V32" i="22"/>
  <c r="U32" i="22"/>
  <c r="T32" i="22"/>
  <c r="S32" i="22"/>
  <c r="R32" i="22"/>
  <c r="Q32" i="22"/>
  <c r="P32" i="22"/>
  <c r="O32" i="22"/>
  <c r="N32" i="22"/>
  <c r="M32" i="22"/>
  <c r="L32" i="22"/>
  <c r="K32" i="22"/>
  <c r="J32" i="22"/>
  <c r="I32" i="22"/>
  <c r="H32" i="22"/>
  <c r="G32" i="22"/>
  <c r="F32" i="22"/>
  <c r="E32" i="22"/>
  <c r="D32" i="22"/>
  <c r="C32" i="22"/>
  <c r="B32" i="22"/>
  <c r="A32" i="22"/>
  <c r="C607" i="22" s="1"/>
  <c r="CB31" i="22"/>
  <c r="CA31" i="22"/>
  <c r="BZ31" i="22"/>
  <c r="BY31" i="22"/>
  <c r="BX31" i="22"/>
  <c r="BW31" i="22"/>
  <c r="BV31" i="22"/>
  <c r="BU31" i="22"/>
  <c r="BT31" i="22"/>
  <c r="BS31" i="22"/>
  <c r="BR31" i="22"/>
  <c r="BQ31" i="22"/>
  <c r="BP31" i="22"/>
  <c r="BO31" i="22"/>
  <c r="BN31" i="22"/>
  <c r="BM31" i="22"/>
  <c r="BL31" i="22"/>
  <c r="BK31" i="22"/>
  <c r="BJ31" i="22"/>
  <c r="BI31" i="22"/>
  <c r="BH31" i="22"/>
  <c r="BG31" i="22"/>
  <c r="BF31" i="22"/>
  <c r="BE31" i="22"/>
  <c r="BD31" i="22"/>
  <c r="BC31" i="22"/>
  <c r="BB31" i="22"/>
  <c r="BA31" i="22"/>
  <c r="AZ31" i="22"/>
  <c r="AY31" i="22"/>
  <c r="AX31" i="22"/>
  <c r="AW31" i="22"/>
  <c r="AV31" i="22"/>
  <c r="AU31" i="22"/>
  <c r="AT31" i="22"/>
  <c r="AS31" i="22"/>
  <c r="AR31" i="22"/>
  <c r="AQ31" i="22"/>
  <c r="AP31" i="22"/>
  <c r="AO31" i="22"/>
  <c r="AN31" i="22"/>
  <c r="AM31" i="22"/>
  <c r="AL31" i="22"/>
  <c r="AK31" i="22"/>
  <c r="AJ31" i="22"/>
  <c r="AI31" i="22"/>
  <c r="AH31" i="22"/>
  <c r="AG31" i="22"/>
  <c r="AF31" i="22"/>
  <c r="AE31" i="22"/>
  <c r="AD31" i="22"/>
  <c r="AC31" i="22"/>
  <c r="AB31" i="22"/>
  <c r="AA31" i="22"/>
  <c r="Z31" i="22"/>
  <c r="Y31" i="22"/>
  <c r="X31" i="22"/>
  <c r="W31" i="22"/>
  <c r="V31" i="22"/>
  <c r="U31" i="22"/>
  <c r="T31" i="22"/>
  <c r="S31" i="22"/>
  <c r="R31" i="22"/>
  <c r="Q31" i="22"/>
  <c r="P31" i="22"/>
  <c r="O31" i="22"/>
  <c r="N31" i="22"/>
  <c r="M31" i="22"/>
  <c r="L31" i="22"/>
  <c r="K31" i="22"/>
  <c r="J31" i="22"/>
  <c r="I31" i="22"/>
  <c r="H31" i="22"/>
  <c r="G31" i="22"/>
  <c r="F31" i="22"/>
  <c r="E31" i="22"/>
  <c r="D31" i="22"/>
  <c r="C31" i="22"/>
  <c r="B31" i="22"/>
  <c r="A31" i="22"/>
  <c r="C606" i="22" s="1"/>
  <c r="CB30" i="22"/>
  <c r="CA30" i="22"/>
  <c r="BZ30" i="22"/>
  <c r="BY30" i="22"/>
  <c r="BX30" i="22"/>
  <c r="BW30" i="22"/>
  <c r="BV30" i="22"/>
  <c r="BU30" i="22"/>
  <c r="BT30" i="22"/>
  <c r="BS30" i="22"/>
  <c r="BR30" i="22"/>
  <c r="BQ30" i="22"/>
  <c r="BP30" i="22"/>
  <c r="BO30" i="22"/>
  <c r="BN30" i="22"/>
  <c r="BM30" i="22"/>
  <c r="BL30" i="22"/>
  <c r="BK30" i="22"/>
  <c r="BJ30" i="22"/>
  <c r="BI30" i="22"/>
  <c r="BH30" i="22"/>
  <c r="BG30" i="22"/>
  <c r="BF30" i="22"/>
  <c r="BE30" i="22"/>
  <c r="BD30" i="22"/>
  <c r="BC30" i="22"/>
  <c r="BB30" i="22"/>
  <c r="BA30" i="22"/>
  <c r="AZ30" i="22"/>
  <c r="AY30" i="22"/>
  <c r="AX30" i="22"/>
  <c r="AW30" i="22"/>
  <c r="AV30" i="22"/>
  <c r="AU30" i="22"/>
  <c r="AT30" i="22"/>
  <c r="AS30" i="22"/>
  <c r="AR30" i="22"/>
  <c r="AQ30" i="22"/>
  <c r="AP30" i="22"/>
  <c r="AO30" i="22"/>
  <c r="AN30" i="22"/>
  <c r="AM30" i="22"/>
  <c r="AL30" i="22"/>
  <c r="AK30" i="22"/>
  <c r="AJ30" i="22"/>
  <c r="AI30" i="22"/>
  <c r="AH30" i="22"/>
  <c r="AG30" i="22"/>
  <c r="AF30" i="22"/>
  <c r="AE30" i="22"/>
  <c r="AD30" i="22"/>
  <c r="AC30" i="22"/>
  <c r="AB30" i="22"/>
  <c r="AA30" i="22"/>
  <c r="Z30" i="22"/>
  <c r="Y30" i="22"/>
  <c r="X30" i="22"/>
  <c r="W30" i="22"/>
  <c r="V30" i="22"/>
  <c r="U30" i="22"/>
  <c r="T30" i="22"/>
  <c r="S30" i="22"/>
  <c r="R30" i="22"/>
  <c r="Q30" i="22"/>
  <c r="P30" i="22"/>
  <c r="O30" i="22"/>
  <c r="N30" i="22"/>
  <c r="M30" i="22"/>
  <c r="L30" i="22"/>
  <c r="K30" i="22"/>
  <c r="J30" i="22"/>
  <c r="I30" i="22"/>
  <c r="H30" i="22"/>
  <c r="G30" i="22"/>
  <c r="F30" i="22"/>
  <c r="E30" i="22"/>
  <c r="D30" i="22"/>
  <c r="C30" i="22"/>
  <c r="B30" i="22"/>
  <c r="A30" i="22"/>
  <c r="C605" i="22" s="1"/>
  <c r="CB29" i="22"/>
  <c r="CA29" i="22"/>
  <c r="BZ29" i="22"/>
  <c r="BY29" i="22"/>
  <c r="BX29" i="22"/>
  <c r="BW29" i="22"/>
  <c r="BV29" i="22"/>
  <c r="BU29" i="22"/>
  <c r="BT29" i="22"/>
  <c r="BS29" i="22"/>
  <c r="BR29" i="22"/>
  <c r="BQ29" i="22"/>
  <c r="BP29" i="22"/>
  <c r="BO29" i="22"/>
  <c r="BN29" i="22"/>
  <c r="BM29" i="22"/>
  <c r="BL29" i="22"/>
  <c r="BK29" i="22"/>
  <c r="BJ29" i="22"/>
  <c r="BI29" i="22"/>
  <c r="BH29" i="22"/>
  <c r="BG29" i="22"/>
  <c r="BF29" i="22"/>
  <c r="BE29" i="22"/>
  <c r="BD29" i="22"/>
  <c r="BC29" i="22"/>
  <c r="BB29" i="22"/>
  <c r="BA29" i="22"/>
  <c r="AZ29" i="22"/>
  <c r="AY29" i="22"/>
  <c r="AX29" i="22"/>
  <c r="AW29" i="22"/>
  <c r="AV29" i="22"/>
  <c r="AU29" i="22"/>
  <c r="AT29" i="22"/>
  <c r="AS29" i="22"/>
  <c r="AR29" i="22"/>
  <c r="AQ29" i="22"/>
  <c r="AP29" i="22"/>
  <c r="AO29" i="22"/>
  <c r="AN29" i="22"/>
  <c r="AM29" i="22"/>
  <c r="AL29" i="22"/>
  <c r="AK29" i="22"/>
  <c r="AJ29" i="22"/>
  <c r="AI29" i="22"/>
  <c r="AH29" i="22"/>
  <c r="AG29" i="22"/>
  <c r="AF29" i="22"/>
  <c r="AE29" i="22"/>
  <c r="AD29" i="22"/>
  <c r="AC29" i="22"/>
  <c r="AB29" i="22"/>
  <c r="AA29" i="22"/>
  <c r="Z29" i="22"/>
  <c r="Y29" i="22"/>
  <c r="X29" i="22"/>
  <c r="W29" i="22"/>
  <c r="V29" i="22"/>
  <c r="U29" i="22"/>
  <c r="T29" i="22"/>
  <c r="S29" i="22"/>
  <c r="R29" i="22"/>
  <c r="Q29" i="22"/>
  <c r="P29" i="22"/>
  <c r="O29" i="22"/>
  <c r="N29" i="22"/>
  <c r="M29" i="22"/>
  <c r="L29" i="22"/>
  <c r="K29" i="22"/>
  <c r="J29" i="22"/>
  <c r="I29" i="22"/>
  <c r="H29" i="22"/>
  <c r="G29" i="22"/>
  <c r="F29" i="22"/>
  <c r="E29" i="22"/>
  <c r="D29" i="22"/>
  <c r="C29" i="22"/>
  <c r="B29" i="22"/>
  <c r="A29" i="22"/>
  <c r="C604" i="22" s="1"/>
  <c r="CB28" i="22"/>
  <c r="CA28" i="22"/>
  <c r="BZ28" i="22"/>
  <c r="BY28" i="22"/>
  <c r="BX28" i="22"/>
  <c r="BW28" i="22"/>
  <c r="BV28" i="22"/>
  <c r="BU28" i="22"/>
  <c r="BT28" i="22"/>
  <c r="BS28" i="22"/>
  <c r="BR28" i="22"/>
  <c r="BQ28" i="22"/>
  <c r="BP28" i="22"/>
  <c r="BO28" i="22"/>
  <c r="BN28" i="22"/>
  <c r="BM28" i="22"/>
  <c r="BL28" i="22"/>
  <c r="BK28" i="22"/>
  <c r="BJ28" i="22"/>
  <c r="BI28" i="22"/>
  <c r="BH28" i="22"/>
  <c r="BG28" i="22"/>
  <c r="BF28" i="22"/>
  <c r="BE28" i="22"/>
  <c r="BD28" i="22"/>
  <c r="BC28" i="22"/>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AD28" i="22"/>
  <c r="AC28" i="22"/>
  <c r="AB28" i="22"/>
  <c r="AA28" i="22"/>
  <c r="Z28" i="22"/>
  <c r="Y28" i="22"/>
  <c r="X28" i="22"/>
  <c r="W28" i="22"/>
  <c r="V28" i="22"/>
  <c r="U28" i="22"/>
  <c r="T28" i="22"/>
  <c r="S28" i="22"/>
  <c r="R28" i="22"/>
  <c r="Q28" i="22"/>
  <c r="P28" i="22"/>
  <c r="O28" i="22"/>
  <c r="N28" i="22"/>
  <c r="M28" i="22"/>
  <c r="L28" i="22"/>
  <c r="K28" i="22"/>
  <c r="J28" i="22"/>
  <c r="I28" i="22"/>
  <c r="H28" i="22"/>
  <c r="G28" i="22"/>
  <c r="F28" i="22"/>
  <c r="E28" i="22"/>
  <c r="D28" i="22"/>
  <c r="C28" i="22"/>
  <c r="B28" i="22"/>
  <c r="A28" i="22"/>
  <c r="C603" i="22" s="1"/>
  <c r="CB27" i="22"/>
  <c r="CA27" i="22"/>
  <c r="BZ27" i="22"/>
  <c r="BY27" i="22"/>
  <c r="BX27" i="22"/>
  <c r="BW27" i="22"/>
  <c r="BV27" i="22"/>
  <c r="BU27" i="22"/>
  <c r="BT27" i="22"/>
  <c r="BS27" i="22"/>
  <c r="BR27" i="22"/>
  <c r="BQ27" i="22"/>
  <c r="BP27" i="22"/>
  <c r="BO27" i="22"/>
  <c r="BN27" i="22"/>
  <c r="BM27" i="22"/>
  <c r="BL27" i="22"/>
  <c r="BK27" i="22"/>
  <c r="BJ27" i="22"/>
  <c r="BI27" i="22"/>
  <c r="BH27" i="22"/>
  <c r="BG27" i="22"/>
  <c r="BF27" i="22"/>
  <c r="BE27" i="22"/>
  <c r="BD27" i="22"/>
  <c r="BC27" i="22"/>
  <c r="BB27" i="22"/>
  <c r="BA27" i="22"/>
  <c r="AZ27" i="22"/>
  <c r="AY27" i="22"/>
  <c r="AX27" i="22"/>
  <c r="AW27" i="22"/>
  <c r="AV27" i="22"/>
  <c r="AU27" i="22"/>
  <c r="AT27" i="22"/>
  <c r="AS27" i="22"/>
  <c r="AR27" i="22"/>
  <c r="AQ27" i="22"/>
  <c r="AP27" i="22"/>
  <c r="AO27" i="22"/>
  <c r="AN27" i="22"/>
  <c r="AM27" i="22"/>
  <c r="AL27" i="22"/>
  <c r="AK27" i="22"/>
  <c r="AJ27" i="22"/>
  <c r="AI27" i="22"/>
  <c r="AH27" i="22"/>
  <c r="AG27" i="22"/>
  <c r="AF27" i="22"/>
  <c r="AE27" i="22"/>
  <c r="AD27" i="22"/>
  <c r="AC27" i="22"/>
  <c r="AB27" i="22"/>
  <c r="AA27" i="22"/>
  <c r="Z27" i="22"/>
  <c r="Y27" i="22"/>
  <c r="X27" i="22"/>
  <c r="W27" i="22"/>
  <c r="V27" i="22"/>
  <c r="U27" i="22"/>
  <c r="T27" i="22"/>
  <c r="S27" i="22"/>
  <c r="R27" i="22"/>
  <c r="Q27" i="22"/>
  <c r="P27" i="22"/>
  <c r="O27" i="22"/>
  <c r="N27" i="22"/>
  <c r="M27" i="22"/>
  <c r="L27" i="22"/>
  <c r="K27" i="22"/>
  <c r="J27" i="22"/>
  <c r="I27" i="22"/>
  <c r="H27" i="22"/>
  <c r="G27" i="22"/>
  <c r="F27" i="22"/>
  <c r="E27" i="22"/>
  <c r="D27" i="22"/>
  <c r="C27" i="22"/>
  <c r="B27" i="22"/>
  <c r="A27" i="22"/>
  <c r="C602" i="22" s="1"/>
  <c r="A11" i="22"/>
  <c r="CB26" i="22"/>
  <c r="CA26" i="22"/>
  <c r="BZ26" i="22"/>
  <c r="BY26" i="22"/>
  <c r="BX26" i="22"/>
  <c r="BW26" i="22"/>
  <c r="BV26" i="22"/>
  <c r="BU26" i="22"/>
  <c r="BT26" i="22"/>
  <c r="BS26" i="22"/>
  <c r="BR26" i="22"/>
  <c r="BQ26" i="22"/>
  <c r="BP26" i="22"/>
  <c r="BO26" i="22"/>
  <c r="BN26" i="22"/>
  <c r="BM26" i="22"/>
  <c r="BL26" i="22"/>
  <c r="BK26" i="22"/>
  <c r="BJ26" i="22"/>
  <c r="BI26" i="22"/>
  <c r="BH26" i="22"/>
  <c r="BG26" i="22"/>
  <c r="BF26" i="22"/>
  <c r="BE26" i="22"/>
  <c r="BD26" i="22"/>
  <c r="BC26" i="22"/>
  <c r="BB26" i="22"/>
  <c r="BA26" i="22"/>
  <c r="AZ26" i="22"/>
  <c r="AY26" i="22"/>
  <c r="AX26" i="22"/>
  <c r="AW26" i="22"/>
  <c r="AV26" i="22"/>
  <c r="AU26" i="22"/>
  <c r="AT26" i="22"/>
  <c r="AS26" i="22"/>
  <c r="AR26" i="22"/>
  <c r="AQ26" i="22"/>
  <c r="AP26" i="22"/>
  <c r="AO26" i="22"/>
  <c r="AN26" i="22"/>
  <c r="AM26" i="22"/>
  <c r="AL26" i="22"/>
  <c r="AK26" i="22"/>
  <c r="AJ26" i="22"/>
  <c r="AI26" i="22"/>
  <c r="AH26" i="22"/>
  <c r="AG26" i="22"/>
  <c r="AF26" i="22"/>
  <c r="AE26" i="22"/>
  <c r="AD26" i="22"/>
  <c r="AC26" i="22"/>
  <c r="AB26" i="22"/>
  <c r="AA26" i="22"/>
  <c r="Z26" i="22"/>
  <c r="Y26" i="22"/>
  <c r="X26" i="22"/>
  <c r="W26" i="22"/>
  <c r="V26" i="22"/>
  <c r="U26" i="22"/>
  <c r="T26" i="22"/>
  <c r="S26" i="22"/>
  <c r="R26" i="22"/>
  <c r="Q26" i="22"/>
  <c r="P26" i="22"/>
  <c r="O26" i="22"/>
  <c r="N26" i="22"/>
  <c r="M26" i="22"/>
  <c r="L26" i="22"/>
  <c r="K26" i="22"/>
  <c r="J26" i="22"/>
  <c r="I26" i="22"/>
  <c r="H26" i="22"/>
  <c r="G26" i="22"/>
  <c r="F26" i="22"/>
  <c r="E26" i="22"/>
  <c r="D26" i="22"/>
  <c r="C26" i="22"/>
  <c r="B26" i="22"/>
  <c r="A26" i="22"/>
  <c r="CB25" i="22"/>
  <c r="CA25" i="22"/>
  <c r="BZ25" i="22"/>
  <c r="BY25" i="22"/>
  <c r="BX25" i="22"/>
  <c r="BW25" i="22"/>
  <c r="BV25" i="22"/>
  <c r="BU25" i="22"/>
  <c r="BT25" i="22"/>
  <c r="BS25" i="22"/>
  <c r="BR25" i="22"/>
  <c r="BQ25" i="22"/>
  <c r="BP25" i="22"/>
  <c r="BO25" i="22"/>
  <c r="BN25" i="22"/>
  <c r="BM25" i="22"/>
  <c r="BL25" i="22"/>
  <c r="BK25" i="22"/>
  <c r="BJ25" i="22"/>
  <c r="BI25" i="22"/>
  <c r="BH25" i="22"/>
  <c r="BG25" i="22"/>
  <c r="BF25" i="22"/>
  <c r="BE25" i="22"/>
  <c r="BD25" i="22"/>
  <c r="BC25" i="22"/>
  <c r="BB25" i="22"/>
  <c r="BA25" i="22"/>
  <c r="AZ25" i="22"/>
  <c r="AY25" i="22"/>
  <c r="AX25" i="22"/>
  <c r="AW25" i="22"/>
  <c r="AV25" i="22"/>
  <c r="AU25" i="22"/>
  <c r="AT25" i="22"/>
  <c r="AS25" i="22"/>
  <c r="AR25" i="22"/>
  <c r="AQ25" i="22"/>
  <c r="AP25" i="22"/>
  <c r="AO25" i="22"/>
  <c r="AN25" i="22"/>
  <c r="AM25" i="22"/>
  <c r="AL25" i="22"/>
  <c r="AK25" i="22"/>
  <c r="AJ25" i="22"/>
  <c r="AI25" i="22"/>
  <c r="AH25" i="22"/>
  <c r="AG25" i="22"/>
  <c r="AF25" i="22"/>
  <c r="AE25" i="22"/>
  <c r="AD25" i="22"/>
  <c r="AC25" i="22"/>
  <c r="AB25" i="22"/>
  <c r="AA25" i="22"/>
  <c r="Z25" i="22"/>
  <c r="Y25" i="22"/>
  <c r="X25" i="22"/>
  <c r="W25" i="22"/>
  <c r="V25" i="22"/>
  <c r="U25" i="22"/>
  <c r="T25" i="22"/>
  <c r="S25" i="22"/>
  <c r="R25" i="22"/>
  <c r="Q25" i="22"/>
  <c r="P25" i="22"/>
  <c r="O25" i="22"/>
  <c r="N25" i="22"/>
  <c r="M25" i="22"/>
  <c r="L25" i="22"/>
  <c r="K25" i="22"/>
  <c r="J25" i="22"/>
  <c r="I25" i="22"/>
  <c r="H25" i="22"/>
  <c r="G25" i="22"/>
  <c r="F25" i="22"/>
  <c r="E25" i="22"/>
  <c r="D25" i="22"/>
  <c r="C25" i="22"/>
  <c r="B25" i="22"/>
  <c r="A25" i="22"/>
  <c r="CB24" i="22"/>
  <c r="CA24" i="22"/>
  <c r="BZ24" i="22"/>
  <c r="BY24" i="22"/>
  <c r="BX24" i="22"/>
  <c r="BW24" i="22"/>
  <c r="BV24" i="22"/>
  <c r="BU24" i="22"/>
  <c r="BT24" i="22"/>
  <c r="BS24" i="22"/>
  <c r="BR24" i="22"/>
  <c r="BQ24" i="22"/>
  <c r="BP24" i="22"/>
  <c r="BO24" i="22"/>
  <c r="BN24" i="22"/>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D24" i="22"/>
  <c r="AC24" i="22"/>
  <c r="AB24" i="22"/>
  <c r="AA24" i="22"/>
  <c r="Z24" i="22"/>
  <c r="Y24" i="22"/>
  <c r="X24" i="22"/>
  <c r="W24" i="22"/>
  <c r="V24" i="22"/>
  <c r="U24" i="22"/>
  <c r="T24" i="22"/>
  <c r="S24" i="22"/>
  <c r="R24" i="22"/>
  <c r="Q24" i="22"/>
  <c r="P24" i="22"/>
  <c r="O24" i="22"/>
  <c r="N24" i="22"/>
  <c r="M24" i="22"/>
  <c r="L24" i="22"/>
  <c r="K24" i="22"/>
  <c r="J24" i="22"/>
  <c r="I24" i="22"/>
  <c r="H24" i="22"/>
  <c r="G24" i="22"/>
  <c r="F24" i="22"/>
  <c r="E24" i="22"/>
  <c r="D24" i="22"/>
  <c r="C24" i="22"/>
  <c r="B24" i="22"/>
  <c r="A24" i="22"/>
  <c r="CB23" i="22"/>
  <c r="CA23" i="22"/>
  <c r="BZ23" i="22"/>
  <c r="BY23" i="22"/>
  <c r="BX23" i="22"/>
  <c r="BW23" i="22"/>
  <c r="BV23" i="22"/>
  <c r="BU23" i="22"/>
  <c r="BT23" i="22"/>
  <c r="BS23" i="22"/>
  <c r="BR23" i="22"/>
  <c r="BQ23" i="22"/>
  <c r="BP23" i="22"/>
  <c r="BO23" i="22"/>
  <c r="BN23" i="22"/>
  <c r="BM23" i="22"/>
  <c r="BL23" i="22"/>
  <c r="BK23" i="22"/>
  <c r="BJ23" i="22"/>
  <c r="BI23" i="22"/>
  <c r="BH23" i="22"/>
  <c r="BG23" i="22"/>
  <c r="BF23" i="22"/>
  <c r="BE23" i="22"/>
  <c r="BD23" i="22"/>
  <c r="BC23" i="22"/>
  <c r="BB23" i="22"/>
  <c r="BA23" i="22"/>
  <c r="AZ23" i="22"/>
  <c r="AY23" i="22"/>
  <c r="AX23" i="22"/>
  <c r="AW23" i="22"/>
  <c r="AV23" i="22"/>
  <c r="AU23" i="22"/>
  <c r="AT23" i="22"/>
  <c r="AS23" i="22"/>
  <c r="AR23" i="22"/>
  <c r="AQ23" i="22"/>
  <c r="AP23" i="22"/>
  <c r="AO23" i="22"/>
  <c r="AN23" i="22"/>
  <c r="AM23" i="22"/>
  <c r="AL23" i="22"/>
  <c r="AK23" i="22"/>
  <c r="AJ23" i="22"/>
  <c r="AI23" i="22"/>
  <c r="AH23" i="22"/>
  <c r="AG23" i="22"/>
  <c r="AF23" i="22"/>
  <c r="AE23" i="22"/>
  <c r="AD23" i="22"/>
  <c r="AC23" i="22"/>
  <c r="AB23" i="22"/>
  <c r="AA23" i="22"/>
  <c r="Z23" i="22"/>
  <c r="Y23" i="22"/>
  <c r="X23" i="22"/>
  <c r="W23" i="22"/>
  <c r="V23" i="22"/>
  <c r="U23" i="22"/>
  <c r="T23" i="22"/>
  <c r="S23" i="22"/>
  <c r="R23" i="22"/>
  <c r="Q23" i="22"/>
  <c r="P23" i="22"/>
  <c r="O23" i="22"/>
  <c r="N23" i="22"/>
  <c r="M23" i="22"/>
  <c r="L23" i="22"/>
  <c r="K23" i="22"/>
  <c r="J23" i="22"/>
  <c r="I23" i="22"/>
  <c r="H23" i="22"/>
  <c r="G23" i="22"/>
  <c r="F23" i="22"/>
  <c r="E23" i="22"/>
  <c r="D23" i="22"/>
  <c r="C23" i="22"/>
  <c r="B23" i="22"/>
  <c r="A23" i="22"/>
  <c r="CB22" i="22"/>
  <c r="CA22" i="22"/>
  <c r="BZ22" i="22"/>
  <c r="BY22" i="22"/>
  <c r="BX22" i="22"/>
  <c r="BW22" i="22"/>
  <c r="BV22" i="22"/>
  <c r="BU22" i="22"/>
  <c r="BT22" i="22"/>
  <c r="BS22" i="22"/>
  <c r="BR22" i="22"/>
  <c r="BQ22" i="22"/>
  <c r="BP22" i="22"/>
  <c r="BO22" i="22"/>
  <c r="BN22" i="22"/>
  <c r="BM22" i="22"/>
  <c r="BL22" i="22"/>
  <c r="BK22" i="22"/>
  <c r="BJ22" i="22"/>
  <c r="BI22" i="22"/>
  <c r="BH22" i="22"/>
  <c r="BG22" i="22"/>
  <c r="BF22" i="22"/>
  <c r="BE22" i="22"/>
  <c r="BD22" i="22"/>
  <c r="BC22" i="22"/>
  <c r="BB22" i="22"/>
  <c r="BA22" i="22"/>
  <c r="AZ22" i="22"/>
  <c r="AY22" i="22"/>
  <c r="AX22" i="22"/>
  <c r="AW22" i="22"/>
  <c r="AV22" i="22"/>
  <c r="AU22" i="22"/>
  <c r="AT22" i="22"/>
  <c r="AS22" i="22"/>
  <c r="AR22" i="22"/>
  <c r="AQ22" i="22"/>
  <c r="AP22" i="22"/>
  <c r="AO22" i="22"/>
  <c r="AN22" i="22"/>
  <c r="AM22" i="22"/>
  <c r="AL22" i="22"/>
  <c r="AK22" i="22"/>
  <c r="AJ22" i="22"/>
  <c r="AI22" i="22"/>
  <c r="AH22" i="22"/>
  <c r="AG22" i="22"/>
  <c r="AF22" i="22"/>
  <c r="AE22" i="22"/>
  <c r="AD22" i="22"/>
  <c r="AC22" i="22"/>
  <c r="AB22" i="22"/>
  <c r="AA22" i="22"/>
  <c r="Z22" i="22"/>
  <c r="Y22" i="22"/>
  <c r="X22" i="22"/>
  <c r="W22" i="22"/>
  <c r="V22" i="22"/>
  <c r="U22" i="22"/>
  <c r="T22" i="22"/>
  <c r="S22" i="22"/>
  <c r="R22" i="22"/>
  <c r="Q22" i="22"/>
  <c r="P22" i="22"/>
  <c r="O22" i="22"/>
  <c r="N22" i="22"/>
  <c r="M22" i="22"/>
  <c r="L22" i="22"/>
  <c r="K22" i="22"/>
  <c r="J22" i="22"/>
  <c r="I22" i="22"/>
  <c r="H22" i="22"/>
  <c r="G22" i="22"/>
  <c r="F22" i="22"/>
  <c r="E22" i="22"/>
  <c r="D22" i="22"/>
  <c r="C22" i="22"/>
  <c r="B22" i="22"/>
  <c r="A22" i="22"/>
  <c r="CB21" i="22"/>
  <c r="CA21" i="22"/>
  <c r="BZ21" i="22"/>
  <c r="BY21" i="22"/>
  <c r="BX21" i="22"/>
  <c r="BW21" i="22"/>
  <c r="BV21" i="22"/>
  <c r="BU21" i="22"/>
  <c r="BT21" i="22"/>
  <c r="BS21" i="22"/>
  <c r="BR21" i="22"/>
  <c r="BQ21" i="22"/>
  <c r="BP21" i="22"/>
  <c r="BO21" i="22"/>
  <c r="BN21" i="22"/>
  <c r="BM21" i="22"/>
  <c r="BL21" i="22"/>
  <c r="BK21" i="22"/>
  <c r="BJ21" i="22"/>
  <c r="BI21" i="22"/>
  <c r="BH21" i="22"/>
  <c r="BG21" i="22"/>
  <c r="BF21" i="22"/>
  <c r="BE21" i="22"/>
  <c r="BD21" i="22"/>
  <c r="BC21" i="22"/>
  <c r="BB21" i="22"/>
  <c r="BA21" i="22"/>
  <c r="AZ21" i="22"/>
  <c r="AY21" i="22"/>
  <c r="AX21" i="22"/>
  <c r="AW21" i="22"/>
  <c r="AV21" i="22"/>
  <c r="AU21" i="22"/>
  <c r="AT21" i="22"/>
  <c r="AS21" i="22"/>
  <c r="AR21" i="22"/>
  <c r="AQ21" i="22"/>
  <c r="AP21" i="22"/>
  <c r="AO21" i="22"/>
  <c r="AN21" i="22"/>
  <c r="AM21" i="22"/>
  <c r="AL21" i="22"/>
  <c r="AK21" i="22"/>
  <c r="AJ21" i="22"/>
  <c r="AI21" i="22"/>
  <c r="AH21" i="22"/>
  <c r="AG21" i="22"/>
  <c r="AF21" i="22"/>
  <c r="AE21" i="22"/>
  <c r="AD21" i="22"/>
  <c r="AC21" i="22"/>
  <c r="AB21" i="22"/>
  <c r="AA21" i="22"/>
  <c r="Z21" i="22"/>
  <c r="Y21" i="22"/>
  <c r="X21" i="22"/>
  <c r="W21" i="22"/>
  <c r="V21" i="22"/>
  <c r="U21" i="22"/>
  <c r="T21" i="22"/>
  <c r="S21" i="22"/>
  <c r="R21" i="22"/>
  <c r="Q21" i="22"/>
  <c r="P21" i="22"/>
  <c r="O21" i="22"/>
  <c r="N21" i="22"/>
  <c r="M21" i="22"/>
  <c r="L21" i="22"/>
  <c r="K21" i="22"/>
  <c r="J21" i="22"/>
  <c r="I21" i="22"/>
  <c r="H21" i="22"/>
  <c r="G21" i="22"/>
  <c r="F21" i="22"/>
  <c r="E21" i="22"/>
  <c r="D21" i="22"/>
  <c r="C21" i="22"/>
  <c r="B21" i="22"/>
  <c r="A21" i="22"/>
  <c r="CB20" i="22"/>
  <c r="CA20" i="22"/>
  <c r="BZ20" i="22"/>
  <c r="BY20" i="22"/>
  <c r="BX20" i="22"/>
  <c r="BW20" i="22"/>
  <c r="BV20" i="22"/>
  <c r="BU20" i="22"/>
  <c r="BT20" i="22"/>
  <c r="BS20" i="22"/>
  <c r="BR20" i="22"/>
  <c r="BQ20" i="22"/>
  <c r="BP20" i="22"/>
  <c r="BO20" i="22"/>
  <c r="BN20" i="22"/>
  <c r="BM20" i="22"/>
  <c r="BL20" i="22"/>
  <c r="BK20" i="22"/>
  <c r="BJ20" i="22"/>
  <c r="BI20" i="22"/>
  <c r="BH20" i="22"/>
  <c r="BG20" i="22"/>
  <c r="BF20" i="22"/>
  <c r="BE20" i="22"/>
  <c r="BD20" i="22"/>
  <c r="BC20" i="22"/>
  <c r="BB20" i="22"/>
  <c r="BA20" i="22"/>
  <c r="AZ20" i="22"/>
  <c r="AY20" i="22"/>
  <c r="AX20" i="22"/>
  <c r="AW20" i="22"/>
  <c r="AV20" i="22"/>
  <c r="AU20" i="22"/>
  <c r="AT20" i="22"/>
  <c r="AS20" i="22"/>
  <c r="AR20" i="22"/>
  <c r="AQ20" i="22"/>
  <c r="AP20" i="22"/>
  <c r="AO20" i="22"/>
  <c r="AN20" i="22"/>
  <c r="AM20" i="22"/>
  <c r="AL20" i="22"/>
  <c r="AK20" i="22"/>
  <c r="AJ20" i="22"/>
  <c r="AI20" i="22"/>
  <c r="AH20" i="22"/>
  <c r="AG20" i="22"/>
  <c r="AF20" i="22"/>
  <c r="AE20" i="22"/>
  <c r="AD20" i="22"/>
  <c r="AC20" i="22"/>
  <c r="AB20" i="22"/>
  <c r="AA20" i="22"/>
  <c r="Z20" i="22"/>
  <c r="Y20" i="22"/>
  <c r="X20" i="22"/>
  <c r="W20" i="22"/>
  <c r="V20" i="22"/>
  <c r="U20" i="22"/>
  <c r="T20" i="22"/>
  <c r="S20" i="22"/>
  <c r="R20" i="22"/>
  <c r="Q20" i="22"/>
  <c r="P20" i="22"/>
  <c r="O20" i="22"/>
  <c r="N20" i="22"/>
  <c r="M20" i="22"/>
  <c r="L20" i="22"/>
  <c r="K20" i="22"/>
  <c r="J20" i="22"/>
  <c r="I20" i="22"/>
  <c r="H20" i="22"/>
  <c r="G20" i="22"/>
  <c r="F20" i="22"/>
  <c r="E20" i="22"/>
  <c r="D20" i="22"/>
  <c r="C20" i="22"/>
  <c r="B20" i="22"/>
  <c r="A20" i="22"/>
  <c r="CB19" i="22"/>
  <c r="CA19" i="22"/>
  <c r="BZ19" i="22"/>
  <c r="BY19" i="22"/>
  <c r="BX19" i="22"/>
  <c r="BW19" i="22"/>
  <c r="BV19" i="22"/>
  <c r="BU19" i="22"/>
  <c r="BT19" i="22"/>
  <c r="BS19" i="22"/>
  <c r="BR19" i="22"/>
  <c r="BQ19" i="22"/>
  <c r="BP19" i="22"/>
  <c r="BO19" i="22"/>
  <c r="BN19" i="22"/>
  <c r="BM19" i="22"/>
  <c r="BL19" i="22"/>
  <c r="BK19" i="22"/>
  <c r="BJ19" i="22"/>
  <c r="BI19" i="22"/>
  <c r="BH19" i="22"/>
  <c r="BG19" i="22"/>
  <c r="BF19" i="22"/>
  <c r="BE19" i="22"/>
  <c r="BD19" i="22"/>
  <c r="BC19" i="22"/>
  <c r="BB19" i="22"/>
  <c r="BA19" i="22"/>
  <c r="AZ19" i="22"/>
  <c r="AY19" i="22"/>
  <c r="AX19" i="22"/>
  <c r="AW19" i="22"/>
  <c r="AV19" i="22"/>
  <c r="AU19" i="22"/>
  <c r="AT19" i="22"/>
  <c r="AS19" i="22"/>
  <c r="AR19" i="22"/>
  <c r="AQ19" i="22"/>
  <c r="AP19" i="22"/>
  <c r="AO19" i="22"/>
  <c r="AN19" i="22"/>
  <c r="AM19" i="22"/>
  <c r="AL19" i="22"/>
  <c r="AK19" i="22"/>
  <c r="AJ19" i="22"/>
  <c r="AI19" i="22"/>
  <c r="AH19" i="22"/>
  <c r="AG19" i="22"/>
  <c r="AF19" i="22"/>
  <c r="AE19" i="22"/>
  <c r="AD19" i="22"/>
  <c r="AC19" i="22"/>
  <c r="AB19" i="22"/>
  <c r="AA19" i="22"/>
  <c r="Z19" i="22"/>
  <c r="Y19" i="22"/>
  <c r="X19" i="22"/>
  <c r="W19" i="22"/>
  <c r="V19" i="22"/>
  <c r="U19" i="22"/>
  <c r="T19" i="22"/>
  <c r="S19" i="22"/>
  <c r="R19" i="22"/>
  <c r="Q19" i="22"/>
  <c r="P19" i="22"/>
  <c r="O19" i="22"/>
  <c r="N19" i="22"/>
  <c r="M19" i="22"/>
  <c r="L19" i="22"/>
  <c r="K19" i="22"/>
  <c r="J19" i="22"/>
  <c r="I19" i="22"/>
  <c r="H19" i="22"/>
  <c r="G19" i="22"/>
  <c r="F19" i="22"/>
  <c r="E19" i="22"/>
  <c r="D19" i="22"/>
  <c r="C19" i="22"/>
  <c r="B19" i="22"/>
  <c r="A19" i="22"/>
  <c r="C594" i="22" s="1"/>
  <c r="CB18" i="22"/>
  <c r="CA18" i="22"/>
  <c r="BZ18" i="22"/>
  <c r="BY18" i="22"/>
  <c r="BX18" i="22"/>
  <c r="BW18" i="22"/>
  <c r="BV18" i="22"/>
  <c r="BU18" i="22"/>
  <c r="BT18" i="22"/>
  <c r="BS18" i="22"/>
  <c r="BR18" i="22"/>
  <c r="BQ18" i="22"/>
  <c r="BP18" i="22"/>
  <c r="BO18" i="22"/>
  <c r="BN18" i="22"/>
  <c r="BM18" i="22"/>
  <c r="BL18" i="22"/>
  <c r="BK18" i="22"/>
  <c r="BJ18" i="22"/>
  <c r="BI18" i="22"/>
  <c r="BH18" i="22"/>
  <c r="BG18" i="22"/>
  <c r="BF18" i="22"/>
  <c r="BE18" i="22"/>
  <c r="BD18" i="22"/>
  <c r="BC18" i="22"/>
  <c r="BB18" i="22"/>
  <c r="BA18" i="22"/>
  <c r="AZ18" i="22"/>
  <c r="AY18" i="22"/>
  <c r="AX18" i="22"/>
  <c r="AW18" i="22"/>
  <c r="AV18" i="22"/>
  <c r="AU18" i="22"/>
  <c r="AT18" i="22"/>
  <c r="AS18" i="22"/>
  <c r="AR18" i="22"/>
  <c r="AQ18" i="22"/>
  <c r="AP18" i="22"/>
  <c r="AO18" i="22"/>
  <c r="AN18" i="22"/>
  <c r="AM18" i="22"/>
  <c r="AL18" i="22"/>
  <c r="AK18" i="22"/>
  <c r="AJ18" i="22"/>
  <c r="AI18" i="22"/>
  <c r="AH18" i="22"/>
  <c r="AG18" i="22"/>
  <c r="AF18" i="22"/>
  <c r="AE18" i="22"/>
  <c r="AD18" i="22"/>
  <c r="AC18" i="22"/>
  <c r="AB18" i="22"/>
  <c r="AA18" i="22"/>
  <c r="Z18" i="22"/>
  <c r="Y18" i="22"/>
  <c r="X18" i="22"/>
  <c r="W18" i="22"/>
  <c r="V18" i="22"/>
  <c r="U18" i="22"/>
  <c r="T18" i="22"/>
  <c r="S18" i="22"/>
  <c r="R18" i="22"/>
  <c r="Q18" i="22"/>
  <c r="P18" i="22"/>
  <c r="O18" i="22"/>
  <c r="N18" i="22"/>
  <c r="M18" i="22"/>
  <c r="L18" i="22"/>
  <c r="K18" i="22"/>
  <c r="J18" i="22"/>
  <c r="I18" i="22"/>
  <c r="H18" i="22"/>
  <c r="G18" i="22"/>
  <c r="F18" i="22"/>
  <c r="E18" i="22"/>
  <c r="D18" i="22"/>
  <c r="C18" i="22"/>
  <c r="B18" i="22"/>
  <c r="A18" i="22"/>
  <c r="C593" i="22" s="1"/>
  <c r="CB17" i="22"/>
  <c r="CA17" i="22"/>
  <c r="BZ17" i="22"/>
  <c r="BY17" i="22"/>
  <c r="BX17" i="22"/>
  <c r="BW17" i="22"/>
  <c r="BV17" i="22"/>
  <c r="BU17" i="22"/>
  <c r="BT17" i="22"/>
  <c r="BS17" i="22"/>
  <c r="BR17" i="22"/>
  <c r="BQ17" i="22"/>
  <c r="BP17" i="22"/>
  <c r="BO17" i="22"/>
  <c r="BN17" i="22"/>
  <c r="BM17" i="22"/>
  <c r="BL17" i="22"/>
  <c r="BK17" i="22"/>
  <c r="BJ17" i="22"/>
  <c r="BI17" i="22"/>
  <c r="BH17" i="22"/>
  <c r="BG17" i="22"/>
  <c r="BF17" i="22"/>
  <c r="BE17" i="22"/>
  <c r="BD17" i="22"/>
  <c r="BC17" i="22"/>
  <c r="BB17" i="22"/>
  <c r="BA17" i="22"/>
  <c r="AZ17" i="22"/>
  <c r="AY17" i="22"/>
  <c r="AX17" i="22"/>
  <c r="AW17" i="22"/>
  <c r="AV17" i="22"/>
  <c r="AU17" i="22"/>
  <c r="AT17" i="22"/>
  <c r="AS17" i="22"/>
  <c r="AR17" i="22"/>
  <c r="AQ17" i="22"/>
  <c r="AP17" i="22"/>
  <c r="AO17" i="22"/>
  <c r="AN17" i="22"/>
  <c r="AM17" i="22"/>
  <c r="AL17" i="22"/>
  <c r="AK17" i="22"/>
  <c r="AJ17" i="22"/>
  <c r="AI17" i="22"/>
  <c r="AH17" i="22"/>
  <c r="AG17" i="22"/>
  <c r="AF17" i="22"/>
  <c r="AE17" i="22"/>
  <c r="AD17" i="22"/>
  <c r="AC17" i="22"/>
  <c r="AB17" i="22"/>
  <c r="AA17" i="22"/>
  <c r="Z17" i="22"/>
  <c r="Y17" i="22"/>
  <c r="X17" i="22"/>
  <c r="W17" i="22"/>
  <c r="V17" i="22"/>
  <c r="U17" i="22"/>
  <c r="T17" i="22"/>
  <c r="S17" i="22"/>
  <c r="R17" i="22"/>
  <c r="Q17" i="22"/>
  <c r="P17" i="22"/>
  <c r="O17" i="22"/>
  <c r="N17" i="22"/>
  <c r="M17" i="22"/>
  <c r="L17" i="22"/>
  <c r="K17" i="22"/>
  <c r="J17" i="22"/>
  <c r="I17" i="22"/>
  <c r="H17" i="22"/>
  <c r="G17" i="22"/>
  <c r="F17" i="22"/>
  <c r="E17" i="22"/>
  <c r="D17" i="22"/>
  <c r="C17" i="22"/>
  <c r="B17" i="22"/>
  <c r="A17" i="22"/>
  <c r="C592" i="22" s="1"/>
  <c r="CB16" i="22"/>
  <c r="CA16" i="22"/>
  <c r="BZ16" i="22"/>
  <c r="BY16" i="22"/>
  <c r="BX16" i="22"/>
  <c r="BW16" i="22"/>
  <c r="BV16" i="22"/>
  <c r="BU16" i="22"/>
  <c r="BT16" i="22"/>
  <c r="BS16" i="22"/>
  <c r="BR16" i="22"/>
  <c r="BQ16" i="22"/>
  <c r="BP16" i="22"/>
  <c r="BO16" i="22"/>
  <c r="BN16" i="22"/>
  <c r="BM16" i="22"/>
  <c r="BL16" i="22"/>
  <c r="BK16" i="22"/>
  <c r="BJ16" i="22"/>
  <c r="BI16" i="22"/>
  <c r="BH16" i="22"/>
  <c r="BG16" i="22"/>
  <c r="BF16" i="22"/>
  <c r="BE16" i="22"/>
  <c r="BD16" i="22"/>
  <c r="BC16" i="22"/>
  <c r="BB16" i="22"/>
  <c r="BA16" i="22"/>
  <c r="AZ16" i="22"/>
  <c r="AY16" i="22"/>
  <c r="AX16" i="22"/>
  <c r="AW16" i="22"/>
  <c r="AV16" i="22"/>
  <c r="AU16" i="22"/>
  <c r="AT16" i="22"/>
  <c r="AS16" i="22"/>
  <c r="AR16" i="22"/>
  <c r="AQ16" i="22"/>
  <c r="AP16" i="22"/>
  <c r="AO16" i="22"/>
  <c r="AN16" i="22"/>
  <c r="AM16" i="22"/>
  <c r="AL16" i="22"/>
  <c r="AK16" i="22"/>
  <c r="AJ16" i="22"/>
  <c r="AI16" i="22"/>
  <c r="AH16" i="22"/>
  <c r="AG16" i="22"/>
  <c r="AF16" i="22"/>
  <c r="AE16" i="22"/>
  <c r="AD16" i="22"/>
  <c r="AC16" i="22"/>
  <c r="AB16" i="22"/>
  <c r="AA16" i="22"/>
  <c r="Z16" i="22"/>
  <c r="Y16" i="22"/>
  <c r="X16" i="22"/>
  <c r="W16" i="22"/>
  <c r="V16" i="22"/>
  <c r="U16" i="22"/>
  <c r="T16" i="22"/>
  <c r="S16" i="22"/>
  <c r="R16" i="22"/>
  <c r="Q16" i="22"/>
  <c r="P16" i="22"/>
  <c r="O16" i="22"/>
  <c r="N16" i="22"/>
  <c r="M16" i="22"/>
  <c r="L16" i="22"/>
  <c r="K16" i="22"/>
  <c r="J16" i="22"/>
  <c r="I16" i="22"/>
  <c r="H16" i="22"/>
  <c r="G16" i="22"/>
  <c r="F16" i="22"/>
  <c r="E16" i="22"/>
  <c r="D16" i="22"/>
  <c r="C16" i="22"/>
  <c r="B16" i="22"/>
  <c r="A16" i="22"/>
  <c r="C591" i="22" s="1"/>
  <c r="CB15" i="22"/>
  <c r="CA15" i="22"/>
  <c r="BZ15" i="22"/>
  <c r="BY15" i="22"/>
  <c r="BX15" i="22"/>
  <c r="BW15" i="22"/>
  <c r="BV15" i="22"/>
  <c r="BU15" i="22"/>
  <c r="BT15" i="22"/>
  <c r="BS15" i="22"/>
  <c r="BR15" i="22"/>
  <c r="BQ15" i="22"/>
  <c r="BP15" i="22"/>
  <c r="BO15" i="22"/>
  <c r="BN15" i="22"/>
  <c r="BM15" i="22"/>
  <c r="BL15" i="22"/>
  <c r="BK15" i="22"/>
  <c r="BJ15" i="22"/>
  <c r="BI15" i="22"/>
  <c r="BH15" i="22"/>
  <c r="BG15" i="22"/>
  <c r="BF15" i="22"/>
  <c r="BE15" i="22"/>
  <c r="BD15" i="22"/>
  <c r="BC15" i="22"/>
  <c r="BB15" i="22"/>
  <c r="BA15" i="22"/>
  <c r="AZ15" i="22"/>
  <c r="AY15" i="22"/>
  <c r="AX15" i="22"/>
  <c r="AW15" i="22"/>
  <c r="AV15" i="22"/>
  <c r="AU15" i="22"/>
  <c r="AT15" i="22"/>
  <c r="AS15" i="22"/>
  <c r="AR15" i="22"/>
  <c r="AQ15" i="22"/>
  <c r="AP15" i="22"/>
  <c r="AO15" i="22"/>
  <c r="AN15" i="22"/>
  <c r="AM15" i="22"/>
  <c r="AL15" i="22"/>
  <c r="AK15" i="22"/>
  <c r="AJ15" i="22"/>
  <c r="AI15" i="22"/>
  <c r="AH15" i="22"/>
  <c r="AG15" i="22"/>
  <c r="AF15" i="22"/>
  <c r="AE15" i="22"/>
  <c r="AD15" i="22"/>
  <c r="AC15" i="22"/>
  <c r="AB15" i="22"/>
  <c r="AA15" i="22"/>
  <c r="Z15" i="22"/>
  <c r="Y15" i="22"/>
  <c r="X15" i="22"/>
  <c r="W15" i="22"/>
  <c r="V15" i="22"/>
  <c r="U15" i="22"/>
  <c r="T15" i="22"/>
  <c r="S15" i="22"/>
  <c r="R15" i="22"/>
  <c r="Q15" i="22"/>
  <c r="P15" i="22"/>
  <c r="O15" i="22"/>
  <c r="N15" i="22"/>
  <c r="M15" i="22"/>
  <c r="L15" i="22"/>
  <c r="K15" i="22"/>
  <c r="J15" i="22"/>
  <c r="I15" i="22"/>
  <c r="H15" i="22"/>
  <c r="G15" i="22"/>
  <c r="F15" i="22"/>
  <c r="E15" i="22"/>
  <c r="D15" i="22"/>
  <c r="C15" i="22"/>
  <c r="B15" i="22"/>
  <c r="A15" i="22"/>
  <c r="C590" i="22" s="1"/>
  <c r="CB14" i="22"/>
  <c r="CA14" i="22"/>
  <c r="BZ14" i="22"/>
  <c r="BY14" i="22"/>
  <c r="BX14" i="22"/>
  <c r="BW14" i="22"/>
  <c r="BV14" i="22"/>
  <c r="BU14" i="22"/>
  <c r="BT14" i="22"/>
  <c r="BS14" i="22"/>
  <c r="BR14" i="22"/>
  <c r="BQ14" i="22"/>
  <c r="BP14" i="22"/>
  <c r="BO14" i="22"/>
  <c r="BN14" i="22"/>
  <c r="BM14" i="22"/>
  <c r="BL14" i="22"/>
  <c r="BK14" i="22"/>
  <c r="BJ14" i="22"/>
  <c r="BI14" i="22"/>
  <c r="BH14" i="22"/>
  <c r="BG14" i="22"/>
  <c r="BF14" i="22"/>
  <c r="BE14" i="22"/>
  <c r="BD14" i="22"/>
  <c r="BC14" i="22"/>
  <c r="BB14" i="22"/>
  <c r="BA14" i="22"/>
  <c r="AZ14" i="22"/>
  <c r="AY14" i="22"/>
  <c r="AX14" i="22"/>
  <c r="AW14" i="22"/>
  <c r="AV14" i="22"/>
  <c r="AU14" i="22"/>
  <c r="AT14" i="22"/>
  <c r="AS14" i="22"/>
  <c r="AR14" i="22"/>
  <c r="AQ14" i="22"/>
  <c r="AP14" i="22"/>
  <c r="AO14" i="22"/>
  <c r="AN14" i="22"/>
  <c r="AM14" i="22"/>
  <c r="AL14" i="22"/>
  <c r="AK14" i="22"/>
  <c r="AJ14" i="22"/>
  <c r="AI14" i="22"/>
  <c r="AH14" i="22"/>
  <c r="AG14" i="22"/>
  <c r="AF14" i="22"/>
  <c r="AE14" i="22"/>
  <c r="AD14" i="22"/>
  <c r="AC14" i="22"/>
  <c r="AB14" i="22"/>
  <c r="AA14" i="22"/>
  <c r="Z14" i="22"/>
  <c r="Y14" i="22"/>
  <c r="X14" i="22"/>
  <c r="W14" i="22"/>
  <c r="V14" i="22"/>
  <c r="U14" i="22"/>
  <c r="T14" i="22"/>
  <c r="S14" i="22"/>
  <c r="R14" i="22"/>
  <c r="Q14" i="22"/>
  <c r="P14" i="22"/>
  <c r="O14" i="22"/>
  <c r="N14" i="22"/>
  <c r="M14" i="22"/>
  <c r="L14" i="22"/>
  <c r="K14" i="22"/>
  <c r="J14" i="22"/>
  <c r="I14" i="22"/>
  <c r="H14" i="22"/>
  <c r="G14" i="22"/>
  <c r="F14" i="22"/>
  <c r="E14" i="22"/>
  <c r="D14" i="22"/>
  <c r="C14" i="22"/>
  <c r="B14" i="22"/>
  <c r="A14" i="22"/>
  <c r="C589" i="22" s="1"/>
  <c r="CB13" i="22"/>
  <c r="CA13" i="22"/>
  <c r="BZ13" i="22"/>
  <c r="BY13" i="22"/>
  <c r="BX13" i="22"/>
  <c r="BW13" i="22"/>
  <c r="BV13" i="22"/>
  <c r="BU13" i="22"/>
  <c r="BT13" i="22"/>
  <c r="BS13" i="22"/>
  <c r="BR13" i="22"/>
  <c r="BQ13" i="22"/>
  <c r="BP13" i="22"/>
  <c r="BO13" i="22"/>
  <c r="BN13" i="22"/>
  <c r="BM13" i="22"/>
  <c r="BL13" i="22"/>
  <c r="BK13" i="22"/>
  <c r="BJ13" i="22"/>
  <c r="BI13" i="22"/>
  <c r="BH13" i="22"/>
  <c r="BG13" i="22"/>
  <c r="BF13" i="22"/>
  <c r="BE13" i="22"/>
  <c r="BD13" i="22"/>
  <c r="BC13" i="22"/>
  <c r="BB13" i="22"/>
  <c r="BA13" i="22"/>
  <c r="AZ13" i="22"/>
  <c r="AY13" i="22"/>
  <c r="AX13" i="22"/>
  <c r="AW13" i="22"/>
  <c r="AV13" i="22"/>
  <c r="AU13" i="22"/>
  <c r="AT13" i="22"/>
  <c r="AS13" i="22"/>
  <c r="AR13" i="22"/>
  <c r="AQ13" i="22"/>
  <c r="AP13" i="22"/>
  <c r="AO13" i="22"/>
  <c r="AN13" i="22"/>
  <c r="AM13" i="22"/>
  <c r="AL13" i="22"/>
  <c r="AK13" i="22"/>
  <c r="AJ13" i="22"/>
  <c r="AI13" i="22"/>
  <c r="AH13" i="22"/>
  <c r="AG13" i="22"/>
  <c r="AF13" i="22"/>
  <c r="AE13" i="22"/>
  <c r="AD13" i="22"/>
  <c r="AC13" i="22"/>
  <c r="AB13" i="22"/>
  <c r="AA13" i="22"/>
  <c r="Z13" i="22"/>
  <c r="Y13" i="22"/>
  <c r="X13" i="22"/>
  <c r="W13" i="22"/>
  <c r="V13" i="22"/>
  <c r="U13" i="22"/>
  <c r="T13" i="22"/>
  <c r="S13" i="22"/>
  <c r="R13" i="22"/>
  <c r="Q13" i="22"/>
  <c r="P13" i="22"/>
  <c r="O13" i="22"/>
  <c r="N13" i="22"/>
  <c r="M13" i="22"/>
  <c r="L13" i="22"/>
  <c r="K13" i="22"/>
  <c r="J13" i="22"/>
  <c r="I13" i="22"/>
  <c r="H13" i="22"/>
  <c r="G13" i="22"/>
  <c r="F13" i="22"/>
  <c r="E13" i="22"/>
  <c r="D13" i="22"/>
  <c r="C13" i="22"/>
  <c r="B13" i="22"/>
  <c r="A13" i="22"/>
  <c r="C588" i="22" s="1"/>
  <c r="CB12" i="22"/>
  <c r="CA12" i="22"/>
  <c r="BZ12" i="22"/>
  <c r="BY12" i="22"/>
  <c r="BX12" i="22"/>
  <c r="BW12" i="22"/>
  <c r="BV12" i="22"/>
  <c r="BU12" i="22"/>
  <c r="BT12" i="22"/>
  <c r="BS12" i="22"/>
  <c r="BR12" i="22"/>
  <c r="BQ12" i="22"/>
  <c r="BP12" i="22"/>
  <c r="BO12" i="22"/>
  <c r="BN12" i="22"/>
  <c r="BM12" i="22"/>
  <c r="BL12" i="22"/>
  <c r="BK12" i="22"/>
  <c r="BJ12" i="22"/>
  <c r="BI12" i="22"/>
  <c r="BH12" i="22"/>
  <c r="BG12" i="22"/>
  <c r="BF12" i="22"/>
  <c r="BE12" i="22"/>
  <c r="BD12" i="22"/>
  <c r="BC12" i="22"/>
  <c r="BB12" i="22"/>
  <c r="BA12" i="22"/>
  <c r="AZ12" i="22"/>
  <c r="AY12" i="22"/>
  <c r="AX12" i="22"/>
  <c r="AW12" i="22"/>
  <c r="AV12" i="22"/>
  <c r="AU12" i="22"/>
  <c r="AT12" i="22"/>
  <c r="AS12" i="22"/>
  <c r="AR12" i="22"/>
  <c r="AQ12" i="22"/>
  <c r="AP12" i="22"/>
  <c r="AO12" i="22"/>
  <c r="AN12" i="22"/>
  <c r="AM12" i="22"/>
  <c r="AL12" i="22"/>
  <c r="AK12" i="22"/>
  <c r="AJ12" i="22"/>
  <c r="AI12" i="22"/>
  <c r="AH12" i="22"/>
  <c r="AG12" i="22"/>
  <c r="AF12" i="22"/>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B12" i="22"/>
  <c r="A12" i="22"/>
  <c r="C587" i="22" s="1"/>
  <c r="CB11" i="22"/>
  <c r="CA11" i="22"/>
  <c r="BZ11" i="22"/>
  <c r="BY11" i="22"/>
  <c r="BX11" i="22"/>
  <c r="BW11" i="22"/>
  <c r="BV11" i="22"/>
  <c r="BU11" i="22"/>
  <c r="BT11" i="22"/>
  <c r="BS11" i="22"/>
  <c r="BR11" i="22"/>
  <c r="BQ11" i="22"/>
  <c r="BP11" i="22"/>
  <c r="BO11" i="22"/>
  <c r="BN11" i="22"/>
  <c r="BM11" i="22"/>
  <c r="BL11" i="22"/>
  <c r="BK11" i="22"/>
  <c r="BJ11" i="22"/>
  <c r="BI11" i="22"/>
  <c r="BH11" i="22"/>
  <c r="BG11" i="22"/>
  <c r="BF11" i="22"/>
  <c r="BE11" i="22"/>
  <c r="BD11" i="22"/>
  <c r="BC11" i="22"/>
  <c r="BB11" i="22"/>
  <c r="BA11" i="22"/>
  <c r="AZ11" i="22"/>
  <c r="AY11" i="22"/>
  <c r="AX11" i="22"/>
  <c r="AW11" i="22"/>
  <c r="AV11" i="22"/>
  <c r="AU11" i="22"/>
  <c r="AT11" i="22"/>
  <c r="AS11" i="22"/>
  <c r="AR11" i="22"/>
  <c r="AQ11" i="22"/>
  <c r="AP11" i="22"/>
  <c r="AO11" i="22"/>
  <c r="AN11" i="22"/>
  <c r="AM11" i="22"/>
  <c r="AL11" i="22"/>
  <c r="AK11" i="22"/>
  <c r="AJ11" i="22"/>
  <c r="AI11" i="22"/>
  <c r="AH11" i="22"/>
  <c r="AG11" i="22"/>
  <c r="AF11" i="22"/>
  <c r="AE11" i="22"/>
  <c r="AD11" i="22"/>
  <c r="AC11" i="22"/>
  <c r="AB11" i="22"/>
  <c r="AA11" i="22"/>
  <c r="Z11" i="22"/>
  <c r="Y11" i="22"/>
  <c r="X11" i="22"/>
  <c r="W11" i="22"/>
  <c r="V11" i="22"/>
  <c r="U11" i="22"/>
  <c r="T11" i="22"/>
  <c r="S11" i="22"/>
  <c r="R11" i="22"/>
  <c r="Q11" i="22"/>
  <c r="P11" i="22"/>
  <c r="O11" i="22"/>
  <c r="N11" i="22"/>
  <c r="M11" i="22"/>
  <c r="L11" i="22"/>
  <c r="K11" i="22"/>
  <c r="J11" i="22"/>
  <c r="I11" i="22"/>
  <c r="H11" i="22"/>
  <c r="G11" i="22"/>
  <c r="F11" i="22"/>
  <c r="E11" i="22"/>
  <c r="D11" i="22"/>
  <c r="C11" i="22"/>
  <c r="B11" i="22"/>
  <c r="AL50" i="22"/>
  <c r="AM50" i="22"/>
  <c r="AN50" i="22"/>
  <c r="AO50" i="22"/>
  <c r="AP50" i="22"/>
  <c r="AQ50" i="22"/>
  <c r="AR50" i="22"/>
  <c r="AS50" i="22"/>
  <c r="AT50" i="22"/>
  <c r="AU50" i="22"/>
  <c r="AV50" i="22"/>
  <c r="AW50" i="22"/>
  <c r="AX50" i="22"/>
  <c r="AY50" i="22"/>
  <c r="AZ50" i="22"/>
  <c r="BA50" i="22"/>
  <c r="BB50" i="22"/>
  <c r="BC50" i="22"/>
  <c r="BD50" i="22"/>
  <c r="BE50" i="22"/>
  <c r="BF50" i="22"/>
  <c r="BG50" i="22"/>
  <c r="BH50" i="22"/>
  <c r="BI50" i="22"/>
  <c r="BJ50" i="22"/>
  <c r="BK50" i="22"/>
  <c r="BL50" i="22"/>
  <c r="BM50" i="22"/>
  <c r="BN50" i="22"/>
  <c r="BO50" i="22"/>
  <c r="BP50" i="22"/>
  <c r="BQ50" i="22"/>
  <c r="BR50" i="22"/>
  <c r="BS50" i="22"/>
  <c r="BT50" i="22"/>
  <c r="BU50" i="22"/>
  <c r="BV50" i="22"/>
  <c r="BW50" i="22"/>
  <c r="BX50" i="22"/>
  <c r="BY50" i="22"/>
  <c r="BZ50" i="22"/>
  <c r="CA50" i="22"/>
  <c r="CB50" i="22"/>
  <c r="A51" i="22"/>
  <c r="B51" i="22"/>
  <c r="C51" i="22"/>
  <c r="D51" i="22"/>
  <c r="E51" i="22"/>
  <c r="F51" i="22"/>
  <c r="G51" i="22"/>
  <c r="H51" i="22"/>
  <c r="I51" i="22"/>
  <c r="AK50" i="22"/>
  <c r="K51" i="22"/>
  <c r="L51" i="22"/>
  <c r="M51" i="22"/>
  <c r="N51" i="22"/>
  <c r="O51" i="22"/>
  <c r="P51" i="22"/>
  <c r="Q51" i="22"/>
  <c r="R51" i="22"/>
  <c r="S51" i="22"/>
  <c r="T51" i="22"/>
  <c r="U51" i="22"/>
  <c r="V51" i="22"/>
  <c r="W51" i="22"/>
  <c r="X51" i="22"/>
  <c r="Y51" i="22"/>
  <c r="Z51" i="22"/>
  <c r="AA51" i="22"/>
  <c r="AB51" i="22"/>
  <c r="AC51" i="22"/>
  <c r="AD51" i="22"/>
  <c r="AE51" i="22"/>
  <c r="AF51" i="22"/>
  <c r="AG51" i="22"/>
  <c r="AH51" i="22"/>
  <c r="AI51" i="22"/>
  <c r="AJ51" i="22"/>
  <c r="AK51" i="22"/>
  <c r="AL51" i="22"/>
  <c r="AM51" i="22"/>
  <c r="AN51" i="22"/>
  <c r="AO51" i="22"/>
  <c r="AP51" i="22"/>
  <c r="AQ51" i="22"/>
  <c r="AR51" i="22"/>
  <c r="AS51" i="22"/>
  <c r="AT51" i="22"/>
  <c r="AU51" i="22"/>
  <c r="AV51" i="22"/>
  <c r="AW51" i="22"/>
  <c r="AX51" i="22"/>
  <c r="AY51" i="22"/>
  <c r="AZ51" i="22"/>
  <c r="BA51" i="22"/>
  <c r="BB51" i="22"/>
  <c r="BC51" i="22"/>
  <c r="BD51" i="22"/>
  <c r="BE51" i="22"/>
  <c r="BF51" i="22"/>
  <c r="BG51" i="22"/>
  <c r="BH51" i="22"/>
  <c r="BI51" i="22"/>
  <c r="BJ51" i="22"/>
  <c r="BK51" i="22"/>
  <c r="BL51" i="22"/>
  <c r="BM51" i="22"/>
  <c r="BN51" i="22"/>
  <c r="BO51" i="22"/>
  <c r="BP51" i="22"/>
  <c r="BQ51" i="22"/>
  <c r="BR51" i="22"/>
  <c r="BS51" i="22"/>
  <c r="BT51" i="22"/>
  <c r="BU51" i="22"/>
  <c r="BV51" i="22"/>
  <c r="BW51" i="22"/>
  <c r="BX51" i="22"/>
  <c r="BY51" i="22"/>
  <c r="BZ51" i="22"/>
  <c r="CA51" i="22"/>
  <c r="CB51" i="22"/>
  <c r="A52" i="22"/>
  <c r="B52" i="22"/>
  <c r="C52" i="22"/>
  <c r="D52" i="22"/>
  <c r="E52" i="22"/>
  <c r="F52" i="22"/>
  <c r="G52" i="22"/>
  <c r="H52" i="22"/>
  <c r="I52" i="22"/>
  <c r="J52" i="22"/>
  <c r="K52" i="22"/>
  <c r="L52" i="22"/>
  <c r="M52" i="22"/>
  <c r="N52" i="22"/>
  <c r="O52" i="22"/>
  <c r="P52" i="22"/>
  <c r="Q52" i="22"/>
  <c r="R52" i="22"/>
  <c r="S52" i="22"/>
  <c r="T52" i="22"/>
  <c r="U52" i="22"/>
  <c r="V52" i="22"/>
  <c r="W52" i="22"/>
  <c r="X52" i="22"/>
  <c r="Y52" i="22"/>
  <c r="Z52" i="22"/>
  <c r="AA52" i="22"/>
  <c r="AB52" i="22"/>
  <c r="AC52" i="22"/>
  <c r="AD52" i="22"/>
  <c r="AE52" i="22"/>
  <c r="AF52" i="22"/>
  <c r="AG52" i="22"/>
  <c r="AH52" i="22"/>
  <c r="AI52" i="22"/>
  <c r="AJ52" i="22"/>
  <c r="AK52" i="22"/>
  <c r="AL52" i="22"/>
  <c r="AM52" i="22"/>
  <c r="AN52" i="22"/>
  <c r="AO52" i="22"/>
  <c r="AP52" i="22"/>
  <c r="AQ52" i="22"/>
  <c r="AR52" i="22"/>
  <c r="AS52" i="22"/>
  <c r="AT52" i="22"/>
  <c r="AU52" i="22"/>
  <c r="AV52" i="22"/>
  <c r="AW52" i="22"/>
  <c r="AX52" i="22"/>
  <c r="AY52" i="22"/>
  <c r="AZ52" i="22"/>
  <c r="BA52" i="22"/>
  <c r="BB52" i="22"/>
  <c r="BC52" i="22"/>
  <c r="BD52" i="22"/>
  <c r="BE52" i="22"/>
  <c r="BF52" i="22"/>
  <c r="BG52" i="22"/>
  <c r="BH52" i="22"/>
  <c r="BI52" i="22"/>
  <c r="BJ52" i="22"/>
  <c r="BK52" i="22"/>
  <c r="BL52" i="22"/>
  <c r="BM52" i="22"/>
  <c r="BN52" i="22"/>
  <c r="BO52" i="22"/>
  <c r="BP52" i="22"/>
  <c r="BQ52" i="22"/>
  <c r="BR52" i="22"/>
  <c r="BS52" i="22"/>
  <c r="BT52" i="22"/>
  <c r="BU52" i="22"/>
  <c r="BV52" i="22"/>
  <c r="BW52" i="22"/>
  <c r="BX52" i="22"/>
  <c r="BY52" i="22"/>
  <c r="BZ52" i="22"/>
  <c r="CA52" i="22"/>
  <c r="CB52" i="22"/>
  <c r="A53" i="22"/>
  <c r="B53" i="22"/>
  <c r="C53" i="22"/>
  <c r="D53" i="22"/>
  <c r="E53" i="22"/>
  <c r="F53" i="22"/>
  <c r="G53" i="22"/>
  <c r="H53" i="22"/>
  <c r="I53" i="22"/>
  <c r="J53" i="22"/>
  <c r="K53" i="22"/>
  <c r="L53" i="22"/>
  <c r="M53" i="22"/>
  <c r="N53" i="22"/>
  <c r="O53" i="22"/>
  <c r="P53" i="22"/>
  <c r="Q53" i="22"/>
  <c r="R53" i="22"/>
  <c r="S53" i="22"/>
  <c r="T53" i="22"/>
  <c r="U53" i="22"/>
  <c r="V53" i="22"/>
  <c r="W53" i="22"/>
  <c r="X53" i="22"/>
  <c r="Y53" i="22"/>
  <c r="Z53" i="22"/>
  <c r="AA53" i="22"/>
  <c r="AB53" i="22"/>
  <c r="AC53" i="22"/>
  <c r="AD53" i="22"/>
  <c r="AE53" i="22"/>
  <c r="AF53" i="22"/>
  <c r="AG53" i="22"/>
  <c r="AH53" i="22"/>
  <c r="AI53" i="22"/>
  <c r="AJ53" i="22"/>
  <c r="AK53" i="22"/>
  <c r="AL53" i="22"/>
  <c r="AM53" i="22"/>
  <c r="AN53" i="22"/>
  <c r="AO53" i="22"/>
  <c r="AP53" i="22"/>
  <c r="AQ53" i="22"/>
  <c r="AR53" i="22"/>
  <c r="AS53" i="22"/>
  <c r="AT53" i="22"/>
  <c r="AU53" i="22"/>
  <c r="AV53" i="22"/>
  <c r="AW53" i="22"/>
  <c r="AX53" i="22"/>
  <c r="AY53" i="22"/>
  <c r="AZ53" i="22"/>
  <c r="BA53" i="22"/>
  <c r="BB53" i="22"/>
  <c r="BC53" i="22"/>
  <c r="BD53" i="22"/>
  <c r="BE53" i="22"/>
  <c r="BF53" i="22"/>
  <c r="BG53" i="22"/>
  <c r="BH53" i="22"/>
  <c r="BI53" i="22"/>
  <c r="BJ53" i="22"/>
  <c r="BK53" i="22"/>
  <c r="BL53" i="22"/>
  <c r="BM53" i="22"/>
  <c r="BN53" i="22"/>
  <c r="BO53" i="22"/>
  <c r="BP53" i="22"/>
  <c r="BQ53" i="22"/>
  <c r="BR53" i="22"/>
  <c r="BS53" i="22"/>
  <c r="BT53" i="22"/>
  <c r="BU53" i="22"/>
  <c r="BV53" i="22"/>
  <c r="BW53" i="22"/>
  <c r="BX53" i="22"/>
  <c r="BY53" i="22"/>
  <c r="BZ53" i="22"/>
  <c r="CA53" i="22"/>
  <c r="CB53" i="22"/>
  <c r="A54" i="22"/>
  <c r="B54" i="22"/>
  <c r="C54" i="22"/>
  <c r="D54" i="22"/>
  <c r="E54" i="22"/>
  <c r="F54" i="22"/>
  <c r="G54" i="22"/>
  <c r="H54" i="22"/>
  <c r="I54" i="22"/>
  <c r="J54" i="22"/>
  <c r="K54" i="22"/>
  <c r="L54" i="22"/>
  <c r="M54" i="22"/>
  <c r="N54" i="22"/>
  <c r="O54" i="22"/>
  <c r="P54" i="22"/>
  <c r="Q54" i="22"/>
  <c r="R54" i="22"/>
  <c r="S54" i="22"/>
  <c r="T54" i="22"/>
  <c r="U54" i="22"/>
  <c r="V54" i="22"/>
  <c r="W54" i="22"/>
  <c r="X54" i="22"/>
  <c r="Y54" i="22"/>
  <c r="Z54" i="22"/>
  <c r="AA54" i="22"/>
  <c r="AB54" i="22"/>
  <c r="AC54" i="22"/>
  <c r="AD54" i="22"/>
  <c r="AE54" i="22"/>
  <c r="AF54" i="22"/>
  <c r="AG54" i="22"/>
  <c r="AH54" i="22"/>
  <c r="AI54" i="22"/>
  <c r="AJ54" i="22"/>
  <c r="AK54" i="22"/>
  <c r="AL54" i="22"/>
  <c r="AM54" i="22"/>
  <c r="AN54" i="22"/>
  <c r="AO54" i="22"/>
  <c r="AP54" i="22"/>
  <c r="AQ54" i="22"/>
  <c r="AR54" i="22"/>
  <c r="AS54" i="22"/>
  <c r="AT54" i="22"/>
  <c r="AU54" i="22"/>
  <c r="AV54" i="22"/>
  <c r="AW54" i="22"/>
  <c r="AX54" i="22"/>
  <c r="AY54" i="22"/>
  <c r="AZ54" i="22"/>
  <c r="BA54" i="22"/>
  <c r="BB54" i="22"/>
  <c r="BC54" i="22"/>
  <c r="BD54" i="22"/>
  <c r="BE54" i="22"/>
  <c r="BF54" i="22"/>
  <c r="BG54" i="22"/>
  <c r="BH54" i="22"/>
  <c r="BI54" i="22"/>
  <c r="BJ54" i="22"/>
  <c r="BK54" i="22"/>
  <c r="BL54" i="22"/>
  <c r="BM54" i="22"/>
  <c r="BN54" i="22"/>
  <c r="BO54" i="22"/>
  <c r="BP54" i="22"/>
  <c r="BQ54" i="22"/>
  <c r="BR54" i="22"/>
  <c r="BS54" i="22"/>
  <c r="BT54" i="22"/>
  <c r="BU54" i="22"/>
  <c r="BV54" i="22"/>
  <c r="BW54" i="22"/>
  <c r="BX54" i="22"/>
  <c r="BY54" i="22"/>
  <c r="BZ54" i="22"/>
  <c r="CA54" i="22"/>
  <c r="CB54" i="22"/>
  <c r="A55" i="22"/>
  <c r="B55" i="22"/>
  <c r="C55" i="22"/>
  <c r="D55" i="22"/>
  <c r="E55" i="22"/>
  <c r="F55" i="22"/>
  <c r="G55" i="22"/>
  <c r="H55" i="22"/>
  <c r="I55" i="22"/>
  <c r="J55" i="22"/>
  <c r="K55" i="22"/>
  <c r="L55" i="22"/>
  <c r="M55" i="22"/>
  <c r="N55" i="22"/>
  <c r="O55" i="22"/>
  <c r="P55" i="22"/>
  <c r="Q55" i="22"/>
  <c r="R55" i="22"/>
  <c r="S55" i="22"/>
  <c r="T55" i="22"/>
  <c r="U55" i="22"/>
  <c r="V55" i="22"/>
  <c r="W55" i="22"/>
  <c r="X55" i="22"/>
  <c r="Y55" i="22"/>
  <c r="Z55" i="22"/>
  <c r="AA55" i="22"/>
  <c r="AB55" i="22"/>
  <c r="AC55" i="22"/>
  <c r="AD55" i="22"/>
  <c r="AE55" i="22"/>
  <c r="AF55" i="22"/>
  <c r="AG55" i="22"/>
  <c r="AH55" i="22"/>
  <c r="AI55" i="22"/>
  <c r="AJ55" i="22"/>
  <c r="AK55" i="22"/>
  <c r="AL55" i="22"/>
  <c r="AM55" i="22"/>
  <c r="AN55" i="22"/>
  <c r="AO55" i="22"/>
  <c r="AP55" i="22"/>
  <c r="AQ55" i="22"/>
  <c r="AR55" i="22"/>
  <c r="AS55" i="22"/>
  <c r="AT55" i="22"/>
  <c r="AU55" i="22"/>
  <c r="AV55" i="22"/>
  <c r="AW55" i="22"/>
  <c r="AX55" i="22"/>
  <c r="AY55" i="22"/>
  <c r="AZ55" i="22"/>
  <c r="BA55" i="22"/>
  <c r="BB55" i="22"/>
  <c r="BC55" i="22"/>
  <c r="BD55" i="22"/>
  <c r="BE55" i="22"/>
  <c r="BF55" i="22"/>
  <c r="BG55" i="22"/>
  <c r="BH55" i="22"/>
  <c r="BI55" i="22"/>
  <c r="BJ55" i="22"/>
  <c r="BK55" i="22"/>
  <c r="BL55" i="22"/>
  <c r="BM55" i="22"/>
  <c r="BN55" i="22"/>
  <c r="BO55" i="22"/>
  <c r="BP55" i="22"/>
  <c r="BQ55" i="22"/>
  <c r="BR55" i="22"/>
  <c r="BS55" i="22"/>
  <c r="BT55" i="22"/>
  <c r="BU55" i="22"/>
  <c r="BV55" i="22"/>
  <c r="BW55" i="22"/>
  <c r="BX55" i="22"/>
  <c r="BY55" i="22"/>
  <c r="BZ55" i="22"/>
  <c r="CA55" i="22"/>
  <c r="CB55" i="22"/>
  <c r="A56" i="22"/>
  <c r="B56" i="22"/>
  <c r="C56" i="22"/>
  <c r="D56" i="22"/>
  <c r="E56" i="22"/>
  <c r="F56" i="22"/>
  <c r="G56" i="22"/>
  <c r="H56" i="22"/>
  <c r="I56" i="22"/>
  <c r="J56" i="22"/>
  <c r="K56" i="22"/>
  <c r="L56" i="22"/>
  <c r="M56" i="22"/>
  <c r="N56" i="22"/>
  <c r="O56" i="22"/>
  <c r="P56" i="22"/>
  <c r="Q56" i="22"/>
  <c r="R56" i="22"/>
  <c r="S56" i="22"/>
  <c r="T56" i="22"/>
  <c r="U56" i="22"/>
  <c r="V56" i="22"/>
  <c r="W56" i="22"/>
  <c r="X56" i="22"/>
  <c r="Y56" i="22"/>
  <c r="Z56" i="22"/>
  <c r="AA56" i="22"/>
  <c r="AB56" i="22"/>
  <c r="AC56" i="22"/>
  <c r="AD56" i="22"/>
  <c r="AE56" i="22"/>
  <c r="AF56" i="22"/>
  <c r="AG56" i="22"/>
  <c r="AH56" i="22"/>
  <c r="AI56" i="22"/>
  <c r="AJ56" i="22"/>
  <c r="AK56" i="22"/>
  <c r="AL56" i="22"/>
  <c r="AM56" i="22"/>
  <c r="AN56" i="22"/>
  <c r="AO56" i="22"/>
  <c r="AP56" i="22"/>
  <c r="AQ56" i="22"/>
  <c r="AR56" i="22"/>
  <c r="AS56" i="22"/>
  <c r="AT56" i="22"/>
  <c r="AU56" i="22"/>
  <c r="AV56" i="22"/>
  <c r="AW56" i="22"/>
  <c r="AX56" i="22"/>
  <c r="AY56" i="22"/>
  <c r="AZ56" i="22"/>
  <c r="BA56" i="22"/>
  <c r="BB56" i="22"/>
  <c r="BC56" i="22"/>
  <c r="BD56" i="22"/>
  <c r="BE56" i="22"/>
  <c r="BF56" i="22"/>
  <c r="BG56" i="22"/>
  <c r="BH56" i="22"/>
  <c r="BI56" i="22"/>
  <c r="BJ56" i="22"/>
  <c r="BK56" i="22"/>
  <c r="BL56" i="22"/>
  <c r="BM56" i="22"/>
  <c r="BN56" i="22"/>
  <c r="BO56" i="22"/>
  <c r="BP56" i="22"/>
  <c r="BQ56" i="22"/>
  <c r="BR56" i="22"/>
  <c r="BS56" i="22"/>
  <c r="BT56" i="22"/>
  <c r="BU56" i="22"/>
  <c r="BV56" i="22"/>
  <c r="BW56" i="22"/>
  <c r="BX56" i="22"/>
  <c r="BY56" i="22"/>
  <c r="BZ56" i="22"/>
  <c r="CA56" i="22"/>
  <c r="CB56" i="22"/>
  <c r="A57" i="22"/>
  <c r="B57" i="22"/>
  <c r="C57" i="22"/>
  <c r="D57" i="22"/>
  <c r="E57" i="22"/>
  <c r="F57" i="22"/>
  <c r="G57" i="22"/>
  <c r="H57" i="22"/>
  <c r="I57" i="22"/>
  <c r="J57" i="22"/>
  <c r="K57" i="22"/>
  <c r="L57" i="22"/>
  <c r="M57" i="22"/>
  <c r="N57" i="22"/>
  <c r="O57" i="22"/>
  <c r="P57" i="22"/>
  <c r="Q57" i="22"/>
  <c r="R57" i="22"/>
  <c r="S57" i="22"/>
  <c r="T57" i="22"/>
  <c r="U57" i="22"/>
  <c r="V57" i="22"/>
  <c r="W57" i="22"/>
  <c r="X57" i="22"/>
  <c r="Y57" i="22"/>
  <c r="Z57" i="22"/>
  <c r="AA57" i="22"/>
  <c r="AB57" i="22"/>
  <c r="AC57" i="22"/>
  <c r="AD57" i="22"/>
  <c r="AE57" i="22"/>
  <c r="AF57" i="22"/>
  <c r="AG57" i="22"/>
  <c r="AH57" i="22"/>
  <c r="AI57" i="22"/>
  <c r="AJ57" i="22"/>
  <c r="AK57" i="22"/>
  <c r="AL57" i="22"/>
  <c r="AM57" i="22"/>
  <c r="AN57" i="22"/>
  <c r="AO57" i="22"/>
  <c r="AP57" i="22"/>
  <c r="AQ57" i="22"/>
  <c r="AR57" i="22"/>
  <c r="AS57" i="22"/>
  <c r="AT57" i="22"/>
  <c r="AU57" i="22"/>
  <c r="AV57" i="22"/>
  <c r="AW57" i="22"/>
  <c r="AX57" i="22"/>
  <c r="AY57" i="22"/>
  <c r="AZ57" i="22"/>
  <c r="BA57" i="22"/>
  <c r="BB57" i="22"/>
  <c r="BC57" i="22"/>
  <c r="BD57" i="22"/>
  <c r="BE57" i="22"/>
  <c r="BF57" i="22"/>
  <c r="BG57" i="22"/>
  <c r="BH57" i="22"/>
  <c r="BI57" i="22"/>
  <c r="BJ57" i="22"/>
  <c r="BK57" i="22"/>
  <c r="BL57" i="22"/>
  <c r="BM57" i="22"/>
  <c r="BN57" i="22"/>
  <c r="BO57" i="22"/>
  <c r="BP57" i="22"/>
  <c r="BQ57" i="22"/>
  <c r="BR57" i="22"/>
  <c r="BS57" i="22"/>
  <c r="BT57" i="22"/>
  <c r="BU57" i="22"/>
  <c r="BV57" i="22"/>
  <c r="BW57" i="22"/>
  <c r="BX57" i="22"/>
  <c r="BY57" i="22"/>
  <c r="BZ57" i="22"/>
  <c r="CA57" i="22"/>
  <c r="CB57" i="22"/>
  <c r="A58" i="22"/>
  <c r="B58" i="22"/>
  <c r="C58" i="22"/>
  <c r="D58" i="22"/>
  <c r="E58" i="22"/>
  <c r="F58" i="22"/>
  <c r="G58" i="22"/>
  <c r="H58" i="22"/>
  <c r="I58" i="22"/>
  <c r="J58" i="22"/>
  <c r="K58" i="22"/>
  <c r="L58" i="22"/>
  <c r="M58" i="22"/>
  <c r="N58" i="22"/>
  <c r="O58" i="22"/>
  <c r="P58" i="22"/>
  <c r="Q58" i="22"/>
  <c r="R58" i="22"/>
  <c r="S58" i="22"/>
  <c r="T58" i="22"/>
  <c r="U58" i="22"/>
  <c r="V58" i="22"/>
  <c r="W58" i="22"/>
  <c r="X58" i="22"/>
  <c r="Y58" i="22"/>
  <c r="Z58" i="22"/>
  <c r="AA58" i="22"/>
  <c r="AB58" i="22"/>
  <c r="AC58" i="22"/>
  <c r="AD58" i="22"/>
  <c r="AE58" i="22"/>
  <c r="AF58" i="22"/>
  <c r="AG58" i="22"/>
  <c r="AH58" i="22"/>
  <c r="AI58" i="22"/>
  <c r="AJ58" i="22"/>
  <c r="AK58" i="22"/>
  <c r="AL58" i="22"/>
  <c r="AM58" i="22"/>
  <c r="AN58" i="22"/>
  <c r="AO58" i="22"/>
  <c r="AP58" i="22"/>
  <c r="AQ58" i="22"/>
  <c r="AR58" i="22"/>
  <c r="AS58" i="22"/>
  <c r="AT58" i="22"/>
  <c r="AU58" i="22"/>
  <c r="AV58" i="22"/>
  <c r="AW58" i="22"/>
  <c r="AX58" i="22"/>
  <c r="AY58" i="22"/>
  <c r="AZ58" i="22"/>
  <c r="BA58" i="22"/>
  <c r="BB58" i="22"/>
  <c r="BC58" i="22"/>
  <c r="BD58" i="22"/>
  <c r="BE58" i="22"/>
  <c r="BF58" i="22"/>
  <c r="BG58" i="22"/>
  <c r="BH58" i="22"/>
  <c r="BI58" i="22"/>
  <c r="BJ58" i="22"/>
  <c r="BK58" i="22"/>
  <c r="BL58" i="22"/>
  <c r="BM58" i="22"/>
  <c r="BN58" i="22"/>
  <c r="BO58" i="22"/>
  <c r="BP58" i="22"/>
  <c r="BQ58" i="22"/>
  <c r="BR58" i="22"/>
  <c r="BS58" i="22"/>
  <c r="BT58" i="22"/>
  <c r="BU58" i="22"/>
  <c r="BV58" i="22"/>
  <c r="BW58" i="22"/>
  <c r="BX58" i="22"/>
  <c r="BY58" i="22"/>
  <c r="BZ58" i="22"/>
  <c r="CA58" i="22"/>
  <c r="CB58" i="22"/>
  <c r="A59" i="22"/>
  <c r="B59" i="22"/>
  <c r="C59" i="22"/>
  <c r="D59" i="22"/>
  <c r="E59" i="22"/>
  <c r="F59" i="22"/>
  <c r="G59" i="22"/>
  <c r="H59" i="22"/>
  <c r="I59" i="22"/>
  <c r="J59" i="22"/>
  <c r="K59" i="22"/>
  <c r="L59" i="22"/>
  <c r="M59" i="22"/>
  <c r="N59" i="22"/>
  <c r="O59" i="22"/>
  <c r="P59" i="22"/>
  <c r="Q59" i="22"/>
  <c r="R59" i="22"/>
  <c r="S59" i="22"/>
  <c r="T59" i="22"/>
  <c r="U59" i="22"/>
  <c r="V59" i="22"/>
  <c r="W59" i="22"/>
  <c r="X59" i="22"/>
  <c r="Y59" i="22"/>
  <c r="Z59" i="22"/>
  <c r="AA59" i="22"/>
  <c r="AB59" i="22"/>
  <c r="AC59" i="22"/>
  <c r="AD59" i="22"/>
  <c r="AE59" i="22"/>
  <c r="AF59" i="22"/>
  <c r="AG59" i="22"/>
  <c r="AH59" i="22"/>
  <c r="AI59" i="22"/>
  <c r="AJ59" i="22"/>
  <c r="AK59" i="22"/>
  <c r="AL59" i="22"/>
  <c r="AM59" i="22"/>
  <c r="AN59" i="22"/>
  <c r="AO59" i="22"/>
  <c r="AP59" i="22"/>
  <c r="AQ59" i="22"/>
  <c r="AR59" i="22"/>
  <c r="AS59" i="22"/>
  <c r="AT59" i="22"/>
  <c r="AU59" i="22"/>
  <c r="AV59" i="22"/>
  <c r="AW59" i="22"/>
  <c r="AX59" i="22"/>
  <c r="AY59" i="22"/>
  <c r="AZ59" i="22"/>
  <c r="BA59" i="22"/>
  <c r="BB59" i="22"/>
  <c r="BC59" i="22"/>
  <c r="BD59" i="22"/>
  <c r="BE59" i="22"/>
  <c r="BF59" i="22"/>
  <c r="BG59" i="22"/>
  <c r="BH59" i="22"/>
  <c r="BI59" i="22"/>
  <c r="BJ59" i="22"/>
  <c r="BK59" i="22"/>
  <c r="BL59" i="22"/>
  <c r="BM59" i="22"/>
  <c r="BN59" i="22"/>
  <c r="BO59" i="22"/>
  <c r="BP59" i="22"/>
  <c r="BQ59" i="22"/>
  <c r="BR59" i="22"/>
  <c r="BS59" i="22"/>
  <c r="BT59" i="22"/>
  <c r="BU59" i="22"/>
  <c r="BV59" i="22"/>
  <c r="BW59" i="22"/>
  <c r="BX59" i="22"/>
  <c r="BY59" i="22"/>
  <c r="BZ59" i="22"/>
  <c r="CA59" i="22"/>
  <c r="CB59" i="22"/>
  <c r="A60" i="22"/>
  <c r="B60" i="22"/>
  <c r="C60" i="22"/>
  <c r="D60" i="22"/>
  <c r="E60" i="22"/>
  <c r="F60" i="22"/>
  <c r="G60" i="22"/>
  <c r="H60" i="22"/>
  <c r="I60" i="22"/>
  <c r="J60" i="22"/>
  <c r="K60" i="22"/>
  <c r="L60" i="22"/>
  <c r="M60" i="22"/>
  <c r="N60" i="22"/>
  <c r="O60" i="22"/>
  <c r="P60" i="22"/>
  <c r="Q60" i="22"/>
  <c r="R60" i="22"/>
  <c r="S60" i="22"/>
  <c r="T60" i="22"/>
  <c r="U60" i="22"/>
  <c r="V60" i="22"/>
  <c r="W60" i="22"/>
  <c r="X60" i="22"/>
  <c r="Y60" i="22"/>
  <c r="Z60" i="22"/>
  <c r="AA60" i="22"/>
  <c r="AB60" i="22"/>
  <c r="AC60" i="22"/>
  <c r="AD60" i="22"/>
  <c r="AE60" i="22"/>
  <c r="AF60" i="22"/>
  <c r="AG60" i="22"/>
  <c r="AH60" i="22"/>
  <c r="AI60" i="22"/>
  <c r="AJ60" i="22"/>
  <c r="AK60" i="22"/>
  <c r="AL60" i="22"/>
  <c r="AM60" i="22"/>
  <c r="AN60" i="22"/>
  <c r="AO60" i="22"/>
  <c r="AP60" i="22"/>
  <c r="AQ60" i="22"/>
  <c r="AR60" i="22"/>
  <c r="AS60" i="22"/>
  <c r="AT60" i="22"/>
  <c r="AU60" i="22"/>
  <c r="AV60" i="22"/>
  <c r="AW60" i="22"/>
  <c r="AX60" i="22"/>
  <c r="AY60" i="22"/>
  <c r="AZ60" i="22"/>
  <c r="BA60" i="22"/>
  <c r="BB60" i="22"/>
  <c r="BC60" i="22"/>
  <c r="BD60" i="22"/>
  <c r="BE60" i="22"/>
  <c r="BF60" i="22"/>
  <c r="BG60" i="22"/>
  <c r="BH60" i="22"/>
  <c r="BI60" i="22"/>
  <c r="BJ60" i="22"/>
  <c r="BK60" i="22"/>
  <c r="BL60" i="22"/>
  <c r="BM60" i="22"/>
  <c r="BN60" i="22"/>
  <c r="BO60" i="22"/>
  <c r="BP60" i="22"/>
  <c r="BQ60" i="22"/>
  <c r="BR60" i="22"/>
  <c r="BS60" i="22"/>
  <c r="BT60" i="22"/>
  <c r="BU60" i="22"/>
  <c r="BV60" i="22"/>
  <c r="BW60" i="22"/>
  <c r="BX60" i="22"/>
  <c r="BY60" i="22"/>
  <c r="BZ60" i="22"/>
  <c r="CA60" i="22"/>
  <c r="CB60" i="22"/>
  <c r="A61" i="22"/>
  <c r="B61" i="22"/>
  <c r="C61" i="22"/>
  <c r="D61" i="22"/>
  <c r="E61" i="22"/>
  <c r="F61" i="22"/>
  <c r="G61" i="22"/>
  <c r="H61" i="22"/>
  <c r="I61" i="22"/>
  <c r="J61" i="22"/>
  <c r="K61" i="22"/>
  <c r="L61" i="22"/>
  <c r="M61" i="22"/>
  <c r="N61" i="22"/>
  <c r="O61" i="22"/>
  <c r="P61" i="22"/>
  <c r="Q61" i="22"/>
  <c r="R61" i="22"/>
  <c r="S61" i="22"/>
  <c r="T61" i="22"/>
  <c r="U61" i="22"/>
  <c r="V61" i="22"/>
  <c r="W61" i="22"/>
  <c r="X61" i="22"/>
  <c r="Y61" i="22"/>
  <c r="Z61" i="22"/>
  <c r="AA61" i="22"/>
  <c r="AB61" i="22"/>
  <c r="AC61" i="22"/>
  <c r="AD61" i="22"/>
  <c r="AE61" i="22"/>
  <c r="AF61" i="22"/>
  <c r="AG61" i="22"/>
  <c r="AH61" i="22"/>
  <c r="AI61" i="22"/>
  <c r="AJ61" i="22"/>
  <c r="AK61" i="22"/>
  <c r="AL61" i="22"/>
  <c r="AM61" i="22"/>
  <c r="AN61" i="22"/>
  <c r="AO61" i="22"/>
  <c r="AP61" i="22"/>
  <c r="AQ61" i="22"/>
  <c r="AR61" i="22"/>
  <c r="AS61" i="22"/>
  <c r="AT61" i="22"/>
  <c r="AU61" i="22"/>
  <c r="AV61" i="22"/>
  <c r="AW61" i="22"/>
  <c r="AX61" i="22"/>
  <c r="AY61" i="22"/>
  <c r="AZ61" i="22"/>
  <c r="BA61" i="22"/>
  <c r="BB61" i="22"/>
  <c r="BC61" i="22"/>
  <c r="BD61" i="22"/>
  <c r="BE61" i="22"/>
  <c r="BF61" i="22"/>
  <c r="BG61" i="22"/>
  <c r="BH61" i="22"/>
  <c r="BI61" i="22"/>
  <c r="BJ61" i="22"/>
  <c r="BK61" i="22"/>
  <c r="BL61" i="22"/>
  <c r="BM61" i="22"/>
  <c r="BN61" i="22"/>
  <c r="BO61" i="22"/>
  <c r="BP61" i="22"/>
  <c r="BQ61" i="22"/>
  <c r="BR61" i="22"/>
  <c r="BS61" i="22"/>
  <c r="BT61" i="22"/>
  <c r="BU61" i="22"/>
  <c r="BV61" i="22"/>
  <c r="BW61" i="22"/>
  <c r="BX61" i="22"/>
  <c r="BY61" i="22"/>
  <c r="BZ61" i="22"/>
  <c r="CA61" i="22"/>
  <c r="CB61" i="22"/>
  <c r="A62" i="22"/>
  <c r="B62" i="22"/>
  <c r="C62" i="22"/>
  <c r="D62" i="22"/>
  <c r="E62" i="22"/>
  <c r="F62" i="22"/>
  <c r="G62" i="22"/>
  <c r="H62" i="22"/>
  <c r="I62" i="22"/>
  <c r="J62" i="22"/>
  <c r="K62" i="22"/>
  <c r="L62" i="22"/>
  <c r="M62" i="22"/>
  <c r="N62" i="22"/>
  <c r="O62" i="22"/>
  <c r="P62" i="22"/>
  <c r="Q62" i="22"/>
  <c r="R62" i="22"/>
  <c r="S62" i="22"/>
  <c r="T62" i="22"/>
  <c r="U62" i="22"/>
  <c r="V62" i="22"/>
  <c r="W62" i="22"/>
  <c r="X62" i="22"/>
  <c r="Y62" i="22"/>
  <c r="Z62" i="22"/>
  <c r="AA62" i="22"/>
  <c r="AB62" i="22"/>
  <c r="AC62" i="22"/>
  <c r="AD62" i="22"/>
  <c r="AE62" i="22"/>
  <c r="AF62" i="22"/>
  <c r="AG62" i="22"/>
  <c r="AH62" i="22"/>
  <c r="AI62" i="22"/>
  <c r="AJ62" i="22"/>
  <c r="AK62" i="22"/>
  <c r="AL62" i="22"/>
  <c r="AM62" i="22"/>
  <c r="AN62" i="22"/>
  <c r="AO62" i="22"/>
  <c r="AP62" i="22"/>
  <c r="AQ62" i="22"/>
  <c r="AR62" i="22"/>
  <c r="AS62" i="22"/>
  <c r="AT62" i="22"/>
  <c r="AU62" i="22"/>
  <c r="AV62" i="22"/>
  <c r="AW62" i="22"/>
  <c r="AX62" i="22"/>
  <c r="AY62" i="22"/>
  <c r="AZ62" i="22"/>
  <c r="BA62" i="22"/>
  <c r="BB62" i="22"/>
  <c r="BC62" i="22"/>
  <c r="BD62" i="22"/>
  <c r="BE62" i="22"/>
  <c r="BF62" i="22"/>
  <c r="BG62" i="22"/>
  <c r="BH62" i="22"/>
  <c r="BI62" i="22"/>
  <c r="BJ62" i="22"/>
  <c r="BK62" i="22"/>
  <c r="BL62" i="22"/>
  <c r="BM62" i="22"/>
  <c r="BN62" i="22"/>
  <c r="BO62" i="22"/>
  <c r="BP62" i="22"/>
  <c r="BQ62" i="22"/>
  <c r="BR62" i="22"/>
  <c r="BS62" i="22"/>
  <c r="BT62" i="22"/>
  <c r="BU62" i="22"/>
  <c r="BV62" i="22"/>
  <c r="BW62" i="22"/>
  <c r="BX62" i="22"/>
  <c r="BY62" i="22"/>
  <c r="BZ62" i="22"/>
  <c r="CA62" i="22"/>
  <c r="CB62" i="22"/>
  <c r="A63" i="22"/>
  <c r="B63" i="22"/>
  <c r="C63" i="22"/>
  <c r="D63" i="22"/>
  <c r="E63" i="22"/>
  <c r="F63" i="22"/>
  <c r="G63" i="22"/>
  <c r="H63" i="22"/>
  <c r="I63" i="22"/>
  <c r="J63" i="22"/>
  <c r="K63" i="22"/>
  <c r="L63" i="22"/>
  <c r="M63" i="22"/>
  <c r="N63" i="22"/>
  <c r="O63" i="22"/>
  <c r="P63" i="22"/>
  <c r="Q63" i="22"/>
  <c r="R63" i="22"/>
  <c r="S63" i="22"/>
  <c r="T63" i="22"/>
  <c r="U63" i="22"/>
  <c r="V63" i="22"/>
  <c r="W63" i="22"/>
  <c r="X63" i="22"/>
  <c r="Y63" i="22"/>
  <c r="Z63" i="22"/>
  <c r="AA63" i="22"/>
  <c r="AB63" i="22"/>
  <c r="AC63" i="22"/>
  <c r="AD63" i="22"/>
  <c r="AE63" i="22"/>
  <c r="AF63" i="22"/>
  <c r="AG63" i="22"/>
  <c r="AH63" i="22"/>
  <c r="AI63" i="22"/>
  <c r="AJ63" i="22"/>
  <c r="AK63" i="22"/>
  <c r="AL63" i="22"/>
  <c r="AM63" i="22"/>
  <c r="AN63" i="22"/>
  <c r="AO63" i="22"/>
  <c r="AP63" i="22"/>
  <c r="AQ63" i="22"/>
  <c r="AR63" i="22"/>
  <c r="AS63" i="22"/>
  <c r="AT63" i="22"/>
  <c r="AU63" i="22"/>
  <c r="AV63" i="22"/>
  <c r="AW63" i="22"/>
  <c r="AX63" i="22"/>
  <c r="AY63" i="22"/>
  <c r="AZ63" i="22"/>
  <c r="BA63" i="22"/>
  <c r="BB63" i="22"/>
  <c r="BC63" i="22"/>
  <c r="BD63" i="22"/>
  <c r="BE63" i="22"/>
  <c r="BF63" i="22"/>
  <c r="BG63" i="22"/>
  <c r="BH63" i="22"/>
  <c r="BI63" i="22"/>
  <c r="BJ63" i="22"/>
  <c r="BK63" i="22"/>
  <c r="BL63" i="22"/>
  <c r="BM63" i="22"/>
  <c r="BN63" i="22"/>
  <c r="BO63" i="22"/>
  <c r="BP63" i="22"/>
  <c r="BQ63" i="22"/>
  <c r="BR63" i="22"/>
  <c r="BS63" i="22"/>
  <c r="BT63" i="22"/>
  <c r="BU63" i="22"/>
  <c r="BV63" i="22"/>
  <c r="BW63" i="22"/>
  <c r="BX63" i="22"/>
  <c r="BY63" i="22"/>
  <c r="BZ63" i="22"/>
  <c r="CA63" i="22"/>
  <c r="CB63" i="22"/>
  <c r="A64" i="22"/>
  <c r="B64" i="22"/>
  <c r="C64" i="22"/>
  <c r="D64" i="22"/>
  <c r="E64" i="22"/>
  <c r="F64" i="22"/>
  <c r="G64" i="22"/>
  <c r="H64" i="22"/>
  <c r="I64" i="22"/>
  <c r="J64" i="22"/>
  <c r="K64" i="22"/>
  <c r="L64" i="22"/>
  <c r="M64" i="22"/>
  <c r="N64" i="22"/>
  <c r="O64" i="22"/>
  <c r="P64" i="22"/>
  <c r="Q64" i="22"/>
  <c r="R64" i="22"/>
  <c r="S64" i="22"/>
  <c r="T64" i="22"/>
  <c r="U64" i="22"/>
  <c r="V64" i="22"/>
  <c r="W64" i="22"/>
  <c r="X64" i="22"/>
  <c r="Y64" i="22"/>
  <c r="Z64" i="22"/>
  <c r="AA64" i="22"/>
  <c r="AB64" i="22"/>
  <c r="AC64" i="22"/>
  <c r="AD64" i="22"/>
  <c r="AE64" i="22"/>
  <c r="AF64" i="22"/>
  <c r="AG64" i="22"/>
  <c r="AH64" i="22"/>
  <c r="AI64" i="22"/>
  <c r="AJ64" i="22"/>
  <c r="AK64" i="22"/>
  <c r="AL64" i="22"/>
  <c r="AM64" i="22"/>
  <c r="AN64" i="22"/>
  <c r="AO64" i="22"/>
  <c r="AP64" i="22"/>
  <c r="AQ64" i="22"/>
  <c r="AR64" i="22"/>
  <c r="AS64" i="22"/>
  <c r="AT64" i="22"/>
  <c r="AU64" i="22"/>
  <c r="AV64" i="22"/>
  <c r="AW64" i="22"/>
  <c r="AX64" i="22"/>
  <c r="AY64" i="22"/>
  <c r="AZ64" i="22"/>
  <c r="BA64" i="22"/>
  <c r="BB64" i="22"/>
  <c r="BC64" i="22"/>
  <c r="BD64" i="22"/>
  <c r="BE64" i="22"/>
  <c r="BF64" i="22"/>
  <c r="BG64" i="22"/>
  <c r="BH64" i="22"/>
  <c r="BI64" i="22"/>
  <c r="BJ64" i="22"/>
  <c r="BK64" i="22"/>
  <c r="BL64" i="22"/>
  <c r="BM64" i="22"/>
  <c r="BN64" i="22"/>
  <c r="BO64" i="22"/>
  <c r="BP64" i="22"/>
  <c r="BQ64" i="22"/>
  <c r="BR64" i="22"/>
  <c r="BS64" i="22"/>
  <c r="BT64" i="22"/>
  <c r="BU64" i="22"/>
  <c r="BV64" i="22"/>
  <c r="BW64" i="22"/>
  <c r="BX64" i="22"/>
  <c r="BY64" i="22"/>
  <c r="BZ64" i="22"/>
  <c r="CA64" i="22"/>
  <c r="CB64" i="22"/>
  <c r="A65" i="22"/>
  <c r="B65" i="22"/>
  <c r="C65" i="22"/>
  <c r="D65" i="22"/>
  <c r="E65" i="22"/>
  <c r="F65" i="22"/>
  <c r="G65" i="22"/>
  <c r="H65" i="22"/>
  <c r="I65" i="22"/>
  <c r="J65" i="22"/>
  <c r="K65" i="22"/>
  <c r="L65" i="22"/>
  <c r="M65" i="22"/>
  <c r="N65" i="22"/>
  <c r="O65" i="22"/>
  <c r="P65" i="22"/>
  <c r="Q65" i="22"/>
  <c r="R65" i="22"/>
  <c r="S65" i="22"/>
  <c r="T65" i="22"/>
  <c r="U65" i="22"/>
  <c r="V65" i="22"/>
  <c r="W65" i="22"/>
  <c r="X65" i="22"/>
  <c r="Y65" i="22"/>
  <c r="Z65" i="22"/>
  <c r="AA65" i="22"/>
  <c r="AB65" i="22"/>
  <c r="AC65" i="22"/>
  <c r="AD65" i="22"/>
  <c r="AE65" i="22"/>
  <c r="AF65" i="22"/>
  <c r="AG65" i="22"/>
  <c r="AH65" i="22"/>
  <c r="AI65" i="22"/>
  <c r="AJ65" i="22"/>
  <c r="AK65" i="22"/>
  <c r="AL65" i="22"/>
  <c r="AM65" i="22"/>
  <c r="AN65" i="22"/>
  <c r="AO65" i="22"/>
  <c r="AP65" i="22"/>
  <c r="AQ65" i="22"/>
  <c r="AR65" i="22"/>
  <c r="AS65" i="22"/>
  <c r="AT65" i="22"/>
  <c r="AU65" i="22"/>
  <c r="AV65" i="22"/>
  <c r="AW65" i="22"/>
  <c r="AX65" i="22"/>
  <c r="AY65" i="22"/>
  <c r="AZ65" i="22"/>
  <c r="BA65" i="22"/>
  <c r="BB65" i="22"/>
  <c r="BC65" i="22"/>
  <c r="BD65" i="22"/>
  <c r="BE65" i="22"/>
  <c r="BF65" i="22"/>
  <c r="BG65" i="22"/>
  <c r="BH65" i="22"/>
  <c r="BI65" i="22"/>
  <c r="BJ65" i="22"/>
  <c r="BK65" i="22"/>
  <c r="BL65" i="22"/>
  <c r="BM65" i="22"/>
  <c r="BN65" i="22"/>
  <c r="BO65" i="22"/>
  <c r="BP65" i="22"/>
  <c r="BQ65" i="22"/>
  <c r="BR65" i="22"/>
  <c r="BS65" i="22"/>
  <c r="BT65" i="22"/>
  <c r="BU65" i="22"/>
  <c r="BV65" i="22"/>
  <c r="BW65" i="22"/>
  <c r="BX65" i="22"/>
  <c r="BY65" i="22"/>
  <c r="BZ65" i="22"/>
  <c r="CA65" i="22"/>
  <c r="CB65" i="22"/>
  <c r="A66" i="22"/>
  <c r="B66" i="22"/>
  <c r="C66" i="22"/>
  <c r="D66" i="22"/>
  <c r="E66" i="22"/>
  <c r="F66" i="22"/>
  <c r="G66" i="22"/>
  <c r="H66" i="22"/>
  <c r="I66" i="22"/>
  <c r="J66" i="22"/>
  <c r="K66" i="22"/>
  <c r="L66" i="22"/>
  <c r="M66" i="22"/>
  <c r="N66" i="22"/>
  <c r="O66" i="22"/>
  <c r="P66" i="22"/>
  <c r="Q66" i="22"/>
  <c r="R66" i="22"/>
  <c r="S66" i="22"/>
  <c r="T66" i="22"/>
  <c r="U66" i="22"/>
  <c r="V66" i="22"/>
  <c r="W66" i="22"/>
  <c r="X66" i="22"/>
  <c r="Y66" i="22"/>
  <c r="Z66" i="22"/>
  <c r="AA66" i="22"/>
  <c r="AB66" i="22"/>
  <c r="AC66" i="22"/>
  <c r="AD66" i="22"/>
  <c r="AE66" i="22"/>
  <c r="AF66" i="22"/>
  <c r="AG66" i="22"/>
  <c r="AH66" i="22"/>
  <c r="AI66" i="22"/>
  <c r="AJ66" i="22"/>
  <c r="AK66" i="22"/>
  <c r="AL66" i="22"/>
  <c r="AM66" i="22"/>
  <c r="AN66" i="22"/>
  <c r="AO66" i="22"/>
  <c r="AP66" i="22"/>
  <c r="AQ66" i="22"/>
  <c r="AR66" i="22"/>
  <c r="AS66" i="22"/>
  <c r="AT66" i="22"/>
  <c r="AU66" i="22"/>
  <c r="AV66" i="22"/>
  <c r="AW66" i="22"/>
  <c r="AX66" i="22"/>
  <c r="AY66" i="22"/>
  <c r="AZ66" i="22"/>
  <c r="BA66" i="22"/>
  <c r="BB66" i="22"/>
  <c r="BC66" i="22"/>
  <c r="BD66" i="22"/>
  <c r="BE66" i="22"/>
  <c r="BF66" i="22"/>
  <c r="BG66" i="22"/>
  <c r="BH66" i="22"/>
  <c r="BI66" i="22"/>
  <c r="BJ66" i="22"/>
  <c r="BK66" i="22"/>
  <c r="BL66" i="22"/>
  <c r="BM66" i="22"/>
  <c r="BN66" i="22"/>
  <c r="BO66" i="22"/>
  <c r="BP66" i="22"/>
  <c r="BQ66" i="22"/>
  <c r="BR66" i="22"/>
  <c r="BS66" i="22"/>
  <c r="BT66" i="22"/>
  <c r="BU66" i="22"/>
  <c r="BV66" i="22"/>
  <c r="BW66" i="22"/>
  <c r="BX66" i="22"/>
  <c r="BY66" i="22"/>
  <c r="BZ66" i="22"/>
  <c r="CA66" i="22"/>
  <c r="CB66" i="22"/>
  <c r="A67" i="22"/>
  <c r="B67" i="22"/>
  <c r="C67" i="22"/>
  <c r="D67" i="22"/>
  <c r="E67" i="22"/>
  <c r="F67" i="22"/>
  <c r="G67" i="22"/>
  <c r="H67" i="22"/>
  <c r="I67" i="22"/>
  <c r="J67" i="22"/>
  <c r="K67" i="22"/>
  <c r="L67" i="22"/>
  <c r="M67" i="22"/>
  <c r="N67" i="22"/>
  <c r="O67" i="22"/>
  <c r="P67" i="22"/>
  <c r="Q67" i="22"/>
  <c r="R67" i="22"/>
  <c r="S67" i="22"/>
  <c r="T67" i="22"/>
  <c r="U67" i="22"/>
  <c r="V67" i="22"/>
  <c r="W67" i="22"/>
  <c r="X67" i="22"/>
  <c r="Y67" i="22"/>
  <c r="Z67" i="22"/>
  <c r="AA67" i="22"/>
  <c r="AB67" i="22"/>
  <c r="AC67" i="22"/>
  <c r="AD67" i="22"/>
  <c r="AE67" i="22"/>
  <c r="AF67" i="22"/>
  <c r="AG67" i="22"/>
  <c r="AH67" i="22"/>
  <c r="AI67" i="22"/>
  <c r="AJ67" i="22"/>
  <c r="AK67" i="22"/>
  <c r="AL67" i="22"/>
  <c r="AM67" i="22"/>
  <c r="AN67" i="22"/>
  <c r="AO67" i="22"/>
  <c r="AP67" i="22"/>
  <c r="AQ67" i="22"/>
  <c r="AR67" i="22"/>
  <c r="AS67" i="22"/>
  <c r="AT67" i="22"/>
  <c r="AU67" i="22"/>
  <c r="AV67" i="22"/>
  <c r="AW67" i="22"/>
  <c r="AX67" i="22"/>
  <c r="AY67" i="22"/>
  <c r="AZ67" i="22"/>
  <c r="BA67" i="22"/>
  <c r="BB67" i="22"/>
  <c r="BC67" i="22"/>
  <c r="BD67" i="22"/>
  <c r="BE67" i="22"/>
  <c r="BF67" i="22"/>
  <c r="BG67" i="22"/>
  <c r="BH67" i="22"/>
  <c r="BI67" i="22"/>
  <c r="BJ67" i="22"/>
  <c r="BK67" i="22"/>
  <c r="BL67" i="22"/>
  <c r="BM67" i="22"/>
  <c r="BN67" i="22"/>
  <c r="BO67" i="22"/>
  <c r="BP67" i="22"/>
  <c r="BQ67" i="22"/>
  <c r="BR67" i="22"/>
  <c r="BS67" i="22"/>
  <c r="BT67" i="22"/>
  <c r="BU67" i="22"/>
  <c r="BV67" i="22"/>
  <c r="BW67" i="22"/>
  <c r="BX67" i="22"/>
  <c r="BY67" i="22"/>
  <c r="BZ67" i="22"/>
  <c r="CA67" i="22"/>
  <c r="CB67" i="22"/>
  <c r="A68" i="22"/>
  <c r="B68" i="22"/>
  <c r="C68" i="22"/>
  <c r="D68" i="22"/>
  <c r="E68" i="22"/>
  <c r="F68" i="22"/>
  <c r="G68" i="22"/>
  <c r="H68" i="22"/>
  <c r="I68" i="22"/>
  <c r="J68" i="22"/>
  <c r="K68" i="22"/>
  <c r="L68" i="22"/>
  <c r="M68" i="22"/>
  <c r="N68" i="22"/>
  <c r="O68" i="22"/>
  <c r="P68" i="22"/>
  <c r="Q68" i="22"/>
  <c r="R68" i="22"/>
  <c r="S68" i="22"/>
  <c r="T68" i="22"/>
  <c r="U68" i="22"/>
  <c r="V68" i="22"/>
  <c r="W68" i="22"/>
  <c r="X68" i="22"/>
  <c r="Y68" i="22"/>
  <c r="Z68" i="22"/>
  <c r="AA68" i="22"/>
  <c r="AB68" i="22"/>
  <c r="AC68" i="22"/>
  <c r="AD68" i="22"/>
  <c r="AE68" i="22"/>
  <c r="AF68" i="22"/>
  <c r="AG68" i="22"/>
  <c r="AH68" i="22"/>
  <c r="AI68" i="22"/>
  <c r="AJ68" i="22"/>
  <c r="AK68" i="22"/>
  <c r="AL68" i="22"/>
  <c r="AM68" i="22"/>
  <c r="AN68" i="22"/>
  <c r="AO68" i="22"/>
  <c r="AP68" i="22"/>
  <c r="AQ68" i="22"/>
  <c r="AR68" i="22"/>
  <c r="AS68" i="22"/>
  <c r="AT68" i="22"/>
  <c r="AU68" i="22"/>
  <c r="AV68" i="22"/>
  <c r="AW68" i="22"/>
  <c r="AX68" i="22"/>
  <c r="AY68" i="22"/>
  <c r="AZ68" i="22"/>
  <c r="BA68" i="22"/>
  <c r="BB68" i="22"/>
  <c r="BC68" i="22"/>
  <c r="BD68" i="22"/>
  <c r="BE68" i="22"/>
  <c r="BF68" i="22"/>
  <c r="BG68" i="22"/>
  <c r="BH68" i="22"/>
  <c r="BI68" i="22"/>
  <c r="BJ68" i="22"/>
  <c r="BK68" i="22"/>
  <c r="BL68" i="22"/>
  <c r="BM68" i="22"/>
  <c r="BN68" i="22"/>
  <c r="BO68" i="22"/>
  <c r="BP68" i="22"/>
  <c r="BQ68" i="22"/>
  <c r="BR68" i="22"/>
  <c r="BS68" i="22"/>
  <c r="BT68" i="22"/>
  <c r="BU68" i="22"/>
  <c r="BV68" i="22"/>
  <c r="BW68" i="22"/>
  <c r="BX68" i="22"/>
  <c r="BY68" i="22"/>
  <c r="BZ68" i="22"/>
  <c r="CA68" i="22"/>
  <c r="CB68" i="22"/>
  <c r="A69" i="22"/>
  <c r="B69" i="22"/>
  <c r="C69" i="22"/>
  <c r="D69" i="22"/>
  <c r="E69" i="22"/>
  <c r="F69" i="22"/>
  <c r="G69" i="22"/>
  <c r="H69" i="22"/>
  <c r="I69" i="22"/>
  <c r="J69" i="22"/>
  <c r="K69" i="22"/>
  <c r="L69" i="22"/>
  <c r="M69" i="22"/>
  <c r="N69" i="22"/>
  <c r="O69" i="22"/>
  <c r="P69" i="22"/>
  <c r="Q69" i="22"/>
  <c r="R69" i="22"/>
  <c r="S69" i="22"/>
  <c r="T69" i="22"/>
  <c r="U69" i="22"/>
  <c r="V69" i="22"/>
  <c r="W69" i="22"/>
  <c r="X69" i="22"/>
  <c r="Y69" i="22"/>
  <c r="Z69" i="22"/>
  <c r="AA69" i="22"/>
  <c r="AB69" i="22"/>
  <c r="AC69" i="22"/>
  <c r="AD69" i="22"/>
  <c r="AE69" i="22"/>
  <c r="AF69" i="22"/>
  <c r="AG69" i="22"/>
  <c r="AH69" i="22"/>
  <c r="AI69" i="22"/>
  <c r="AJ69" i="22"/>
  <c r="AK69" i="22"/>
  <c r="AL69" i="22"/>
  <c r="AM69" i="22"/>
  <c r="AN69" i="22"/>
  <c r="AO69" i="22"/>
  <c r="AP69" i="22"/>
  <c r="AQ69" i="22"/>
  <c r="AR69" i="22"/>
  <c r="AS69" i="22"/>
  <c r="AT69" i="22"/>
  <c r="AU69" i="22"/>
  <c r="AV69" i="22"/>
  <c r="AW69" i="22"/>
  <c r="AX69" i="22"/>
  <c r="AY69" i="22"/>
  <c r="AZ69" i="22"/>
  <c r="BA69" i="22"/>
  <c r="BB69" i="22"/>
  <c r="BC69" i="22"/>
  <c r="BD69" i="22"/>
  <c r="BE69" i="22"/>
  <c r="BF69" i="22"/>
  <c r="BG69" i="22"/>
  <c r="BH69" i="22"/>
  <c r="BI69" i="22"/>
  <c r="BJ69" i="22"/>
  <c r="BK69" i="22"/>
  <c r="BL69" i="22"/>
  <c r="BM69" i="22"/>
  <c r="BN69" i="22"/>
  <c r="BO69" i="22"/>
  <c r="BP69" i="22"/>
  <c r="BQ69" i="22"/>
  <c r="BR69" i="22"/>
  <c r="BS69" i="22"/>
  <c r="BT69" i="22"/>
  <c r="BU69" i="22"/>
  <c r="BV69" i="22"/>
  <c r="BW69" i="22"/>
  <c r="BX69" i="22"/>
  <c r="BY69" i="22"/>
  <c r="BZ69" i="22"/>
  <c r="CA69" i="22"/>
  <c r="CB69" i="22"/>
  <c r="A70" i="22"/>
  <c r="B70" i="22"/>
  <c r="C70" i="22"/>
  <c r="D70" i="22"/>
  <c r="E70" i="22"/>
  <c r="F70" i="22"/>
  <c r="G70" i="22"/>
  <c r="H70" i="22"/>
  <c r="I70" i="22"/>
  <c r="J70" i="22"/>
  <c r="K70" i="22"/>
  <c r="L70" i="22"/>
  <c r="M70" i="22"/>
  <c r="N70" i="22"/>
  <c r="O70" i="22"/>
  <c r="P70" i="22"/>
  <c r="Q70" i="22"/>
  <c r="R70" i="22"/>
  <c r="S70" i="22"/>
  <c r="T70" i="22"/>
  <c r="U70" i="22"/>
  <c r="V70" i="22"/>
  <c r="W70" i="22"/>
  <c r="X70" i="22"/>
  <c r="Y70" i="22"/>
  <c r="Z70" i="22"/>
  <c r="AA70" i="22"/>
  <c r="AB70" i="22"/>
  <c r="AC70" i="22"/>
  <c r="AD70" i="22"/>
  <c r="AE70" i="22"/>
  <c r="AF70" i="22"/>
  <c r="AG70" i="22"/>
  <c r="AH70" i="22"/>
  <c r="AI70" i="22"/>
  <c r="AJ70" i="22"/>
  <c r="AK70" i="22"/>
  <c r="AL70" i="22"/>
  <c r="AM70" i="22"/>
  <c r="AN70" i="22"/>
  <c r="AO70" i="22"/>
  <c r="AP70" i="22"/>
  <c r="AQ70" i="22"/>
  <c r="AR70" i="22"/>
  <c r="AS70" i="22"/>
  <c r="AT70" i="22"/>
  <c r="AU70" i="22"/>
  <c r="AV70" i="22"/>
  <c r="AW70" i="22"/>
  <c r="AX70" i="22"/>
  <c r="AY70" i="22"/>
  <c r="AZ70" i="22"/>
  <c r="BA70" i="22"/>
  <c r="BB70" i="22"/>
  <c r="BC70" i="22"/>
  <c r="BD70" i="22"/>
  <c r="BE70" i="22"/>
  <c r="BF70" i="22"/>
  <c r="BG70" i="22"/>
  <c r="BH70" i="22"/>
  <c r="BI70" i="22"/>
  <c r="BJ70" i="22"/>
  <c r="BK70" i="22"/>
  <c r="BL70" i="22"/>
  <c r="BM70" i="22"/>
  <c r="BN70" i="22"/>
  <c r="BO70" i="22"/>
  <c r="BP70" i="22"/>
  <c r="BQ70" i="22"/>
  <c r="BR70" i="22"/>
  <c r="BS70" i="22"/>
  <c r="BT70" i="22"/>
  <c r="BU70" i="22"/>
  <c r="BV70" i="22"/>
  <c r="BW70" i="22"/>
  <c r="BX70" i="22"/>
  <c r="BY70" i="22"/>
  <c r="BZ70" i="22"/>
  <c r="CA70" i="22"/>
  <c r="CB70" i="22"/>
  <c r="A71" i="22"/>
  <c r="B71" i="22"/>
  <c r="C71" i="22"/>
  <c r="D71" i="22"/>
  <c r="E71" i="22"/>
  <c r="F71" i="22"/>
  <c r="G71" i="22"/>
  <c r="H71" i="22"/>
  <c r="I71" i="22"/>
  <c r="J71" i="22"/>
  <c r="K71" i="22"/>
  <c r="L71" i="22"/>
  <c r="M71" i="22"/>
  <c r="N71" i="22"/>
  <c r="O71" i="22"/>
  <c r="P71" i="22"/>
  <c r="Q71" i="22"/>
  <c r="R71" i="22"/>
  <c r="S71" i="22"/>
  <c r="T71" i="22"/>
  <c r="U71" i="22"/>
  <c r="V71" i="22"/>
  <c r="W71" i="22"/>
  <c r="X71" i="22"/>
  <c r="Y71" i="22"/>
  <c r="Z71" i="22"/>
  <c r="AA71" i="22"/>
  <c r="AB71" i="22"/>
  <c r="AC71" i="22"/>
  <c r="AD71" i="22"/>
  <c r="AE71" i="22"/>
  <c r="AF71" i="22"/>
  <c r="AG71" i="22"/>
  <c r="AH71" i="22"/>
  <c r="AI71" i="22"/>
  <c r="AJ71" i="22"/>
  <c r="AK71" i="22"/>
  <c r="AL71" i="22"/>
  <c r="AM71" i="22"/>
  <c r="AN71" i="22"/>
  <c r="AO71" i="22"/>
  <c r="AP71" i="22"/>
  <c r="AQ71" i="22"/>
  <c r="AR71" i="22"/>
  <c r="AS71" i="22"/>
  <c r="AT71" i="22"/>
  <c r="AU71" i="22"/>
  <c r="AV71" i="22"/>
  <c r="AW71" i="22"/>
  <c r="AX71" i="22"/>
  <c r="AY71" i="22"/>
  <c r="AZ71" i="22"/>
  <c r="BA71" i="22"/>
  <c r="BB71" i="22"/>
  <c r="BC71" i="22"/>
  <c r="BD71" i="22"/>
  <c r="BE71" i="22"/>
  <c r="BF71" i="22"/>
  <c r="BG71" i="22"/>
  <c r="BH71" i="22"/>
  <c r="BI71" i="22"/>
  <c r="BJ71" i="22"/>
  <c r="BK71" i="22"/>
  <c r="BL71" i="22"/>
  <c r="BM71" i="22"/>
  <c r="BN71" i="22"/>
  <c r="BO71" i="22"/>
  <c r="BP71" i="22"/>
  <c r="BQ71" i="22"/>
  <c r="BR71" i="22"/>
  <c r="BS71" i="22"/>
  <c r="BT71" i="22"/>
  <c r="BU71" i="22"/>
  <c r="BV71" i="22"/>
  <c r="BW71" i="22"/>
  <c r="BX71" i="22"/>
  <c r="BY71" i="22"/>
  <c r="BZ71" i="22"/>
  <c r="CA71" i="22"/>
  <c r="CB71" i="22"/>
  <c r="A72" i="22"/>
  <c r="B72" i="22"/>
  <c r="C72" i="22"/>
  <c r="D72" i="22"/>
  <c r="E72" i="22"/>
  <c r="F72" i="22"/>
  <c r="G72" i="22"/>
  <c r="H72" i="22"/>
  <c r="I72" i="22"/>
  <c r="J72" i="22"/>
  <c r="K72" i="22"/>
  <c r="L72" i="22"/>
  <c r="M72" i="22"/>
  <c r="N72" i="22"/>
  <c r="O72" i="22"/>
  <c r="P72" i="22"/>
  <c r="Q72" i="22"/>
  <c r="R72" i="22"/>
  <c r="S72" i="22"/>
  <c r="T72" i="22"/>
  <c r="U72" i="22"/>
  <c r="V72" i="22"/>
  <c r="W72" i="22"/>
  <c r="X72" i="22"/>
  <c r="Y72" i="22"/>
  <c r="Z72" i="22"/>
  <c r="AA72" i="22"/>
  <c r="AB72" i="22"/>
  <c r="AC72" i="22"/>
  <c r="AD72" i="22"/>
  <c r="AE72" i="22"/>
  <c r="AF72" i="22"/>
  <c r="AG72" i="22"/>
  <c r="AH72" i="22"/>
  <c r="AI72" i="22"/>
  <c r="AJ72" i="22"/>
  <c r="AK72" i="22"/>
  <c r="AL72" i="22"/>
  <c r="AM72" i="22"/>
  <c r="AN72" i="22"/>
  <c r="AO72" i="22"/>
  <c r="AP72" i="22"/>
  <c r="AQ72" i="22"/>
  <c r="AR72" i="22"/>
  <c r="AS72" i="22"/>
  <c r="AT72" i="22"/>
  <c r="AU72" i="22"/>
  <c r="AV72" i="22"/>
  <c r="AW72" i="22"/>
  <c r="AX72" i="22"/>
  <c r="AY72" i="22"/>
  <c r="AZ72" i="22"/>
  <c r="BA72" i="22"/>
  <c r="BB72" i="22"/>
  <c r="BC72" i="22"/>
  <c r="BD72" i="22"/>
  <c r="BE72" i="22"/>
  <c r="BF72" i="22"/>
  <c r="BG72" i="22"/>
  <c r="BH72" i="22"/>
  <c r="BI72" i="22"/>
  <c r="BJ72" i="22"/>
  <c r="BK72" i="22"/>
  <c r="BL72" i="22"/>
  <c r="BM72" i="22"/>
  <c r="BN72" i="22"/>
  <c r="BP72" i="22"/>
  <c r="BQ72" i="22"/>
  <c r="BR72" i="22"/>
  <c r="BS72" i="22"/>
  <c r="BT72" i="22"/>
  <c r="BU72" i="22"/>
  <c r="BV72" i="22"/>
  <c r="BW72" i="22"/>
  <c r="BX72" i="22"/>
  <c r="BY72" i="22"/>
  <c r="BZ72" i="22"/>
  <c r="CA72" i="22"/>
  <c r="CB72" i="22"/>
  <c r="A73" i="22"/>
  <c r="B73" i="22"/>
  <c r="C73" i="22"/>
  <c r="D73" i="22"/>
  <c r="E73" i="22"/>
  <c r="F73" i="22"/>
  <c r="G73" i="22"/>
  <c r="H73" i="22"/>
  <c r="I73" i="22"/>
  <c r="J73" i="22"/>
  <c r="K73" i="22"/>
  <c r="L73" i="22"/>
  <c r="M73" i="22"/>
  <c r="N73" i="22"/>
  <c r="O73" i="22"/>
  <c r="P73" i="22"/>
  <c r="Q73" i="22"/>
  <c r="R73" i="22"/>
  <c r="S73" i="22"/>
  <c r="T73" i="22"/>
  <c r="U73" i="22"/>
  <c r="V73" i="22"/>
  <c r="W73" i="22"/>
  <c r="X73" i="22"/>
  <c r="Y73" i="22"/>
  <c r="Z73" i="22"/>
  <c r="AA73" i="22"/>
  <c r="AB73" i="22"/>
  <c r="AC73" i="22"/>
  <c r="AD73" i="22"/>
  <c r="AE73" i="22"/>
  <c r="AF73" i="22"/>
  <c r="AG73" i="22"/>
  <c r="AH73" i="22"/>
  <c r="AI73" i="22"/>
  <c r="AJ73" i="22"/>
  <c r="AK73" i="22"/>
  <c r="AL73" i="22"/>
  <c r="AM73" i="22"/>
  <c r="AN73" i="22"/>
  <c r="AO73" i="22"/>
  <c r="AP73" i="22"/>
  <c r="AQ73" i="22"/>
  <c r="AR73" i="22"/>
  <c r="AS73" i="22"/>
  <c r="AT73" i="22"/>
  <c r="AU73" i="22"/>
  <c r="AV73" i="22"/>
  <c r="AW73" i="22"/>
  <c r="AX73" i="22"/>
  <c r="AY73" i="22"/>
  <c r="AZ73" i="22"/>
  <c r="BA73" i="22"/>
  <c r="BB73" i="22"/>
  <c r="BC73" i="22"/>
  <c r="BD73" i="22"/>
  <c r="BE73" i="22"/>
  <c r="BF73" i="22"/>
  <c r="BG73" i="22"/>
  <c r="BH73" i="22"/>
  <c r="BI73" i="22"/>
  <c r="BJ73" i="22"/>
  <c r="BK73" i="22"/>
  <c r="BL73" i="22"/>
  <c r="BM73" i="22"/>
  <c r="BN73" i="22"/>
  <c r="BO73" i="22"/>
  <c r="BP73" i="22"/>
  <c r="BQ73" i="22"/>
  <c r="BR73" i="22"/>
  <c r="BS73" i="22"/>
  <c r="BT73" i="22"/>
  <c r="BU73" i="22"/>
  <c r="BV73" i="22"/>
  <c r="BW73" i="22"/>
  <c r="BX73" i="22"/>
  <c r="BY73" i="22"/>
  <c r="BZ73" i="22"/>
  <c r="CA73" i="22"/>
  <c r="CB73" i="22"/>
  <c r="A74" i="22"/>
  <c r="B74" i="22"/>
  <c r="C74" i="22"/>
  <c r="D74" i="22"/>
  <c r="E74" i="22"/>
  <c r="F74" i="22"/>
  <c r="G74" i="22"/>
  <c r="H74" i="22"/>
  <c r="I74" i="22"/>
  <c r="J74" i="22"/>
  <c r="K74" i="22"/>
  <c r="L74" i="22"/>
  <c r="M74" i="22"/>
  <c r="N74" i="22"/>
  <c r="O74" i="22"/>
  <c r="P74" i="22"/>
  <c r="Q74" i="22"/>
  <c r="R74" i="22"/>
  <c r="S74" i="22"/>
  <c r="T74" i="22"/>
  <c r="U74" i="22"/>
  <c r="V74" i="22"/>
  <c r="W74" i="22"/>
  <c r="X74" i="22"/>
  <c r="Y74" i="22"/>
  <c r="Z74" i="22"/>
  <c r="AA74" i="22"/>
  <c r="AB74" i="22"/>
  <c r="AC74" i="22"/>
  <c r="AD74" i="22"/>
  <c r="AE74" i="22"/>
  <c r="AF74" i="22"/>
  <c r="AG74" i="22"/>
  <c r="AH74" i="22"/>
  <c r="AI74" i="22"/>
  <c r="AJ74" i="22"/>
  <c r="AK74" i="22"/>
  <c r="AL74" i="22"/>
  <c r="AM74" i="22"/>
  <c r="AN74" i="22"/>
  <c r="AO74" i="22"/>
  <c r="AP74" i="22"/>
  <c r="AQ74" i="22"/>
  <c r="AR74" i="22"/>
  <c r="AS74" i="22"/>
  <c r="AT74" i="22"/>
  <c r="AU74" i="22"/>
  <c r="AV74" i="22"/>
  <c r="AW74" i="22"/>
  <c r="AX74" i="22"/>
  <c r="AY74" i="22"/>
  <c r="AZ74" i="22"/>
  <c r="BA74" i="22"/>
  <c r="BB74" i="22"/>
  <c r="BC74" i="22"/>
  <c r="BD74" i="22"/>
  <c r="BE74" i="22"/>
  <c r="BF74" i="22"/>
  <c r="BG74" i="22"/>
  <c r="BH74" i="22"/>
  <c r="BI74" i="22"/>
  <c r="BJ74" i="22"/>
  <c r="BK74" i="22"/>
  <c r="BL74" i="22"/>
  <c r="BM74" i="22"/>
  <c r="BN74" i="22"/>
  <c r="BO74" i="22"/>
  <c r="BP74" i="22"/>
  <c r="BQ74" i="22"/>
  <c r="BR74" i="22"/>
  <c r="BS74" i="22"/>
  <c r="BT74" i="22"/>
  <c r="BU74" i="22"/>
  <c r="BV74" i="22"/>
  <c r="BW74" i="22"/>
  <c r="BX74" i="22"/>
  <c r="BY74" i="22"/>
  <c r="BZ74" i="22"/>
  <c r="CA74" i="22"/>
  <c r="CB74" i="22"/>
  <c r="A75" i="22"/>
  <c r="B75" i="22"/>
  <c r="C75" i="22"/>
  <c r="D75" i="22"/>
  <c r="E75" i="22"/>
  <c r="F75" i="22"/>
  <c r="G75" i="22"/>
  <c r="H75" i="22"/>
  <c r="I75" i="22"/>
  <c r="J75" i="22"/>
  <c r="K75" i="22"/>
  <c r="L75" i="22"/>
  <c r="M75" i="22"/>
  <c r="N75" i="22"/>
  <c r="O75" i="22"/>
  <c r="P75" i="22"/>
  <c r="Q75" i="22"/>
  <c r="R75" i="22"/>
  <c r="S75" i="22"/>
  <c r="T75" i="22"/>
  <c r="U75" i="22"/>
  <c r="V75" i="22"/>
  <c r="W75" i="22"/>
  <c r="X75" i="22"/>
  <c r="Y75" i="22"/>
  <c r="Z75" i="22"/>
  <c r="AA75" i="22"/>
  <c r="AB75" i="22"/>
  <c r="AC75" i="22"/>
  <c r="AD75" i="22"/>
  <c r="AE75" i="22"/>
  <c r="AF75" i="22"/>
  <c r="AG75" i="22"/>
  <c r="AH75" i="22"/>
  <c r="AI75" i="22"/>
  <c r="AJ75" i="22"/>
  <c r="AK75" i="22"/>
  <c r="AL75" i="22"/>
  <c r="AM75" i="22"/>
  <c r="AN75" i="22"/>
  <c r="AO75" i="22"/>
  <c r="AP75" i="22"/>
  <c r="AQ75" i="22"/>
  <c r="AR75" i="22"/>
  <c r="AS75" i="22"/>
  <c r="AT75" i="22"/>
  <c r="AU75" i="22"/>
  <c r="AV75" i="22"/>
  <c r="AW75" i="22"/>
  <c r="AX75" i="22"/>
  <c r="AY75" i="22"/>
  <c r="AZ75" i="22"/>
  <c r="BA75" i="22"/>
  <c r="BB75" i="22"/>
  <c r="BC75" i="22"/>
  <c r="BD75" i="22"/>
  <c r="BE75" i="22"/>
  <c r="BF75" i="22"/>
  <c r="BG75" i="22"/>
  <c r="BH75" i="22"/>
  <c r="BI75" i="22"/>
  <c r="BJ75" i="22"/>
  <c r="BK75" i="22"/>
  <c r="BL75" i="22"/>
  <c r="BM75" i="22"/>
  <c r="BN75" i="22"/>
  <c r="BO75" i="22"/>
  <c r="BP75" i="22"/>
  <c r="BQ75" i="22"/>
  <c r="BR75" i="22"/>
  <c r="BS75" i="22"/>
  <c r="BT75" i="22"/>
  <c r="BU75" i="22"/>
  <c r="BV75" i="22"/>
  <c r="BW75" i="22"/>
  <c r="BX75" i="22"/>
  <c r="BY75" i="22"/>
  <c r="BZ75" i="22"/>
  <c r="CA75" i="22"/>
  <c r="CB75" i="22"/>
  <c r="A76" i="22"/>
  <c r="B76" i="22"/>
  <c r="C76" i="22"/>
  <c r="D76" i="22"/>
  <c r="E76" i="22"/>
  <c r="F76" i="22"/>
  <c r="G76" i="22"/>
  <c r="H76" i="22"/>
  <c r="I76" i="22"/>
  <c r="J76" i="22"/>
  <c r="K76" i="22"/>
  <c r="L76" i="22"/>
  <c r="M76" i="22"/>
  <c r="N76" i="22"/>
  <c r="O76" i="22"/>
  <c r="P76" i="22"/>
  <c r="Q76" i="22"/>
  <c r="R76" i="22"/>
  <c r="S76" i="22"/>
  <c r="T76" i="22"/>
  <c r="U76" i="22"/>
  <c r="V76" i="22"/>
  <c r="W76" i="22"/>
  <c r="X76" i="22"/>
  <c r="Y76" i="22"/>
  <c r="Z76" i="22"/>
  <c r="AA76" i="22"/>
  <c r="AB76" i="22"/>
  <c r="AC76" i="22"/>
  <c r="AD76" i="22"/>
  <c r="AE76" i="22"/>
  <c r="AF76" i="22"/>
  <c r="AG76" i="22"/>
  <c r="AH76" i="22"/>
  <c r="AI76" i="22"/>
  <c r="AJ76" i="22"/>
  <c r="AK76" i="22"/>
  <c r="AL76" i="22"/>
  <c r="AM76" i="22"/>
  <c r="AN76" i="22"/>
  <c r="AO76" i="22"/>
  <c r="AP76" i="22"/>
  <c r="AQ76" i="22"/>
  <c r="AR76" i="22"/>
  <c r="AS76" i="22"/>
  <c r="AT76" i="22"/>
  <c r="AU76" i="22"/>
  <c r="AV76" i="22"/>
  <c r="AW76" i="22"/>
  <c r="AX76" i="22"/>
  <c r="AY76" i="22"/>
  <c r="AZ76" i="22"/>
  <c r="BA76" i="22"/>
  <c r="BB76" i="22"/>
  <c r="BC76" i="22"/>
  <c r="BD76" i="22"/>
  <c r="BE76" i="22"/>
  <c r="BF76" i="22"/>
  <c r="BG76" i="22"/>
  <c r="BH76" i="22"/>
  <c r="BI76" i="22"/>
  <c r="BJ76" i="22"/>
  <c r="BK76" i="22"/>
  <c r="BL76" i="22"/>
  <c r="BM76" i="22"/>
  <c r="BN76" i="22"/>
  <c r="BO76" i="22"/>
  <c r="BP76" i="22"/>
  <c r="BQ76" i="22"/>
  <c r="BR76" i="22"/>
  <c r="BS76" i="22"/>
  <c r="BT76" i="22"/>
  <c r="BU76" i="22"/>
  <c r="BV76" i="22"/>
  <c r="BW76" i="22"/>
  <c r="BX76" i="22"/>
  <c r="BY76" i="22"/>
  <c r="BZ76" i="22"/>
  <c r="CA76" i="22"/>
  <c r="CB76" i="22"/>
  <c r="A77" i="22"/>
  <c r="B77" i="22"/>
  <c r="C77" i="22"/>
  <c r="D77" i="22"/>
  <c r="E77" i="22"/>
  <c r="F77" i="22"/>
  <c r="G77" i="22"/>
  <c r="H77" i="22"/>
  <c r="I77" i="22"/>
  <c r="J77" i="22"/>
  <c r="K77" i="22"/>
  <c r="L77" i="22"/>
  <c r="M77" i="22"/>
  <c r="N77" i="22"/>
  <c r="O77" i="22"/>
  <c r="P77" i="22"/>
  <c r="Q77" i="22"/>
  <c r="R77" i="22"/>
  <c r="S77" i="22"/>
  <c r="T77" i="22"/>
  <c r="U77" i="22"/>
  <c r="V77" i="22"/>
  <c r="W77" i="22"/>
  <c r="X77" i="22"/>
  <c r="Y77" i="22"/>
  <c r="Z77" i="22"/>
  <c r="AA77" i="22"/>
  <c r="AB77" i="22"/>
  <c r="AC77" i="22"/>
  <c r="AD77" i="22"/>
  <c r="AE77" i="22"/>
  <c r="AF77" i="22"/>
  <c r="AG77" i="22"/>
  <c r="AH77" i="22"/>
  <c r="AI77" i="22"/>
  <c r="AJ77" i="22"/>
  <c r="AK77" i="22"/>
  <c r="AL77" i="22"/>
  <c r="AM77" i="22"/>
  <c r="AN77" i="22"/>
  <c r="AO77" i="22"/>
  <c r="AP77" i="22"/>
  <c r="AQ77" i="22"/>
  <c r="AR77" i="22"/>
  <c r="AS77" i="22"/>
  <c r="AT77" i="22"/>
  <c r="AU77" i="22"/>
  <c r="AV77" i="22"/>
  <c r="AW77" i="22"/>
  <c r="AX77" i="22"/>
  <c r="AY77" i="22"/>
  <c r="AZ77" i="22"/>
  <c r="BA77" i="22"/>
  <c r="BB77" i="22"/>
  <c r="BC77" i="22"/>
  <c r="BD77" i="22"/>
  <c r="BE77" i="22"/>
  <c r="BF77" i="22"/>
  <c r="BG77" i="22"/>
  <c r="BH77" i="22"/>
  <c r="BI77" i="22"/>
  <c r="BJ77" i="22"/>
  <c r="BK77" i="22"/>
  <c r="BL77" i="22"/>
  <c r="BM77" i="22"/>
  <c r="BN77" i="22"/>
  <c r="BO77" i="22"/>
  <c r="BP77" i="22"/>
  <c r="BQ77" i="22"/>
  <c r="BR77" i="22"/>
  <c r="BS77" i="22"/>
  <c r="BT77" i="22"/>
  <c r="BU77" i="22"/>
  <c r="BV77" i="22"/>
  <c r="BW77" i="22"/>
  <c r="BX77" i="22"/>
  <c r="BY77" i="22"/>
  <c r="BZ77" i="22"/>
  <c r="CA77" i="22"/>
  <c r="CB77" i="22"/>
  <c r="A78" i="22"/>
  <c r="B78" i="22"/>
  <c r="C78" i="22"/>
  <c r="D78" i="22"/>
  <c r="E78" i="22"/>
  <c r="F78" i="22"/>
  <c r="G78" i="22"/>
  <c r="H78" i="22"/>
  <c r="I78" i="22"/>
  <c r="J78" i="22"/>
  <c r="K78" i="22"/>
  <c r="L78" i="22"/>
  <c r="M78" i="22"/>
  <c r="N78" i="22"/>
  <c r="O78" i="22"/>
  <c r="P78" i="22"/>
  <c r="Q78" i="22"/>
  <c r="R78" i="22"/>
  <c r="S78" i="22"/>
  <c r="T78" i="22"/>
  <c r="U78" i="22"/>
  <c r="V78" i="22"/>
  <c r="W78" i="22"/>
  <c r="X78" i="22"/>
  <c r="Y78" i="22"/>
  <c r="Z78" i="22"/>
  <c r="AA78" i="22"/>
  <c r="AB78" i="22"/>
  <c r="AC78" i="22"/>
  <c r="AD78" i="22"/>
  <c r="AE78" i="22"/>
  <c r="AF78" i="22"/>
  <c r="AG78" i="22"/>
  <c r="AH78" i="22"/>
  <c r="AI78" i="22"/>
  <c r="AJ78" i="22"/>
  <c r="AK78" i="22"/>
  <c r="AL78" i="22"/>
  <c r="AM78" i="22"/>
  <c r="AN78" i="22"/>
  <c r="AO78" i="22"/>
  <c r="AP78" i="22"/>
  <c r="AQ78" i="22"/>
  <c r="AR78" i="22"/>
  <c r="AS78" i="22"/>
  <c r="AT78" i="22"/>
  <c r="AU78" i="22"/>
  <c r="AV78" i="22"/>
  <c r="AW78" i="22"/>
  <c r="AX78" i="22"/>
  <c r="AY78" i="22"/>
  <c r="AZ78" i="22"/>
  <c r="BA78" i="22"/>
  <c r="BB78" i="22"/>
  <c r="BC78" i="22"/>
  <c r="BD78" i="22"/>
  <c r="BE78" i="22"/>
  <c r="BF78" i="22"/>
  <c r="BG78" i="22"/>
  <c r="BH78" i="22"/>
  <c r="BI78" i="22"/>
  <c r="BJ78" i="22"/>
  <c r="BK78" i="22"/>
  <c r="BL78" i="22"/>
  <c r="BM78" i="22"/>
  <c r="BN78" i="22"/>
  <c r="BO78" i="22"/>
  <c r="BP78" i="22"/>
  <c r="BQ78" i="22"/>
  <c r="BR78" i="22"/>
  <c r="BS78" i="22"/>
  <c r="BT78" i="22"/>
  <c r="BU78" i="22"/>
  <c r="BV78" i="22"/>
  <c r="BW78" i="22"/>
  <c r="BX78" i="22"/>
  <c r="BY78" i="22"/>
  <c r="BZ78" i="22"/>
  <c r="CA78" i="22"/>
  <c r="CB78" i="22"/>
  <c r="A79" i="22"/>
  <c r="B79" i="22"/>
  <c r="C79" i="22"/>
  <c r="D79" i="22"/>
  <c r="E79" i="22"/>
  <c r="F79" i="22"/>
  <c r="G79" i="22"/>
  <c r="H79" i="22"/>
  <c r="I79" i="22"/>
  <c r="J79" i="22"/>
  <c r="K79" i="22"/>
  <c r="L79" i="22"/>
  <c r="M79" i="22"/>
  <c r="N79" i="22"/>
  <c r="O79" i="22"/>
  <c r="P79" i="22"/>
  <c r="Q79" i="22"/>
  <c r="R79" i="22"/>
  <c r="S79" i="22"/>
  <c r="T79" i="22"/>
  <c r="U79" i="22"/>
  <c r="V79" i="22"/>
  <c r="W79" i="22"/>
  <c r="X79" i="22"/>
  <c r="Y79" i="22"/>
  <c r="Z79" i="22"/>
  <c r="AA79" i="22"/>
  <c r="AB79" i="22"/>
  <c r="AC79" i="22"/>
  <c r="AD79" i="22"/>
  <c r="AE79" i="22"/>
  <c r="AF79" i="22"/>
  <c r="AG79" i="22"/>
  <c r="AH79" i="22"/>
  <c r="AI79" i="22"/>
  <c r="AJ79" i="22"/>
  <c r="AK79" i="22"/>
  <c r="AL79" i="22"/>
  <c r="AM79" i="22"/>
  <c r="AN79" i="22"/>
  <c r="AO79" i="22"/>
  <c r="AP79" i="22"/>
  <c r="AQ79" i="22"/>
  <c r="AR79" i="22"/>
  <c r="AS79" i="22"/>
  <c r="AT79" i="22"/>
  <c r="AU79" i="22"/>
  <c r="AV79" i="22"/>
  <c r="AW79" i="22"/>
  <c r="AX79" i="22"/>
  <c r="AY79" i="22"/>
  <c r="AZ79" i="22"/>
  <c r="BA79" i="22"/>
  <c r="BB79" i="22"/>
  <c r="BC79" i="22"/>
  <c r="BD79" i="22"/>
  <c r="BE79" i="22"/>
  <c r="BF79" i="22"/>
  <c r="BG79" i="22"/>
  <c r="BH79" i="22"/>
  <c r="BI79" i="22"/>
  <c r="BJ79" i="22"/>
  <c r="BK79" i="22"/>
  <c r="BL79" i="22"/>
  <c r="BM79" i="22"/>
  <c r="BN79" i="22"/>
  <c r="BO79" i="22"/>
  <c r="BP79" i="22"/>
  <c r="BQ79" i="22"/>
  <c r="BR79" i="22"/>
  <c r="BS79" i="22"/>
  <c r="BT79" i="22"/>
  <c r="BU79" i="22"/>
  <c r="BV79" i="22"/>
  <c r="BW79" i="22"/>
  <c r="BX79" i="22"/>
  <c r="BY79" i="22"/>
  <c r="BZ79" i="22"/>
  <c r="CA79" i="22"/>
  <c r="CB79" i="22"/>
  <c r="A80" i="22"/>
  <c r="B80" i="22"/>
  <c r="C80" i="22"/>
  <c r="D80" i="22"/>
  <c r="E80" i="22"/>
  <c r="F80" i="22"/>
  <c r="G80" i="22"/>
  <c r="H80" i="22"/>
  <c r="I80" i="22"/>
  <c r="J80" i="22"/>
  <c r="K80" i="22"/>
  <c r="L80" i="22"/>
  <c r="M80" i="22"/>
  <c r="N80" i="22"/>
  <c r="O80" i="22"/>
  <c r="P80" i="22"/>
  <c r="Q80" i="22"/>
  <c r="R80" i="22"/>
  <c r="S80" i="22"/>
  <c r="T80" i="22"/>
  <c r="U80" i="22"/>
  <c r="V80" i="22"/>
  <c r="W80" i="22"/>
  <c r="X80" i="22"/>
  <c r="Y80" i="22"/>
  <c r="Z80" i="22"/>
  <c r="AA80" i="22"/>
  <c r="AB80" i="22"/>
  <c r="AC80" i="22"/>
  <c r="AD80" i="22"/>
  <c r="AE80" i="22"/>
  <c r="AF80" i="22"/>
  <c r="AG80" i="22"/>
  <c r="AH80" i="22"/>
  <c r="AI80" i="22"/>
  <c r="AJ80" i="22"/>
  <c r="AK80" i="22"/>
  <c r="AL80" i="22"/>
  <c r="AM80" i="22"/>
  <c r="AN80" i="22"/>
  <c r="AO80" i="22"/>
  <c r="AP80" i="22"/>
  <c r="AQ80" i="22"/>
  <c r="AR80" i="22"/>
  <c r="AS80" i="22"/>
  <c r="AT80" i="22"/>
  <c r="AU80" i="22"/>
  <c r="AV80" i="22"/>
  <c r="AW80" i="22"/>
  <c r="AX80" i="22"/>
  <c r="AY80" i="22"/>
  <c r="AZ80" i="22"/>
  <c r="BA80" i="22"/>
  <c r="BB80" i="22"/>
  <c r="BC80" i="22"/>
  <c r="BD80" i="22"/>
  <c r="BE80" i="22"/>
  <c r="BF80" i="22"/>
  <c r="BG80" i="22"/>
  <c r="BH80" i="22"/>
  <c r="BI80" i="22"/>
  <c r="BJ80" i="22"/>
  <c r="BK80" i="22"/>
  <c r="BL80" i="22"/>
  <c r="BM80" i="22"/>
  <c r="BN80" i="22"/>
  <c r="BO80" i="22"/>
  <c r="BP80" i="22"/>
  <c r="BQ80" i="22"/>
  <c r="BR80" i="22"/>
  <c r="BS80" i="22"/>
  <c r="BT80" i="22"/>
  <c r="BU80" i="22"/>
  <c r="BV80" i="22"/>
  <c r="BW80" i="22"/>
  <c r="BX80" i="22"/>
  <c r="BY80" i="22"/>
  <c r="BZ80" i="22"/>
  <c r="CA80" i="22"/>
  <c r="CB80" i="22"/>
  <c r="A81" i="22"/>
  <c r="B81" i="22"/>
  <c r="C81" i="22"/>
  <c r="D81" i="22"/>
  <c r="E81" i="22"/>
  <c r="F81" i="22"/>
  <c r="G81" i="22"/>
  <c r="H81" i="22"/>
  <c r="I81" i="22"/>
  <c r="J81" i="22"/>
  <c r="K81" i="22"/>
  <c r="L81" i="22"/>
  <c r="M81" i="22"/>
  <c r="N81" i="22"/>
  <c r="O81" i="22"/>
  <c r="P81" i="22"/>
  <c r="Q81" i="22"/>
  <c r="R81" i="22"/>
  <c r="S81" i="22"/>
  <c r="T81" i="22"/>
  <c r="U81" i="22"/>
  <c r="V81" i="22"/>
  <c r="W81" i="22"/>
  <c r="X81" i="22"/>
  <c r="Y81" i="22"/>
  <c r="Z81" i="22"/>
  <c r="AA81" i="22"/>
  <c r="AB81" i="22"/>
  <c r="AC81" i="22"/>
  <c r="AD81" i="22"/>
  <c r="AE81" i="22"/>
  <c r="AF81" i="22"/>
  <c r="AG81" i="22"/>
  <c r="AH81" i="22"/>
  <c r="AI81" i="22"/>
  <c r="AJ81" i="22"/>
  <c r="AK81" i="22"/>
  <c r="AL81" i="22"/>
  <c r="AM81" i="22"/>
  <c r="AN81" i="22"/>
  <c r="AO81" i="22"/>
  <c r="AP81" i="22"/>
  <c r="AQ81" i="22"/>
  <c r="AR81" i="22"/>
  <c r="AS81" i="22"/>
  <c r="AT81" i="22"/>
  <c r="AU81" i="22"/>
  <c r="AV81" i="22"/>
  <c r="AW81" i="22"/>
  <c r="AX81" i="22"/>
  <c r="AY81" i="22"/>
  <c r="AZ81" i="22"/>
  <c r="BA81" i="22"/>
  <c r="BB81" i="22"/>
  <c r="BC81" i="22"/>
  <c r="BD81" i="22"/>
  <c r="BE81" i="22"/>
  <c r="BF81" i="22"/>
  <c r="BG81" i="22"/>
  <c r="BH81" i="22"/>
  <c r="BI81" i="22"/>
  <c r="BJ81" i="22"/>
  <c r="BK81" i="22"/>
  <c r="BL81" i="22"/>
  <c r="BM81" i="22"/>
  <c r="BN81" i="22"/>
  <c r="BO81" i="22"/>
  <c r="BP81" i="22"/>
  <c r="BQ81" i="22"/>
  <c r="BR81" i="22"/>
  <c r="BS81" i="22"/>
  <c r="BT81" i="22"/>
  <c r="BU81" i="22"/>
  <c r="BV81" i="22"/>
  <c r="BW81" i="22"/>
  <c r="BX81" i="22"/>
  <c r="BY81" i="22"/>
  <c r="BZ81" i="22"/>
  <c r="CA81" i="22"/>
  <c r="CB81" i="22"/>
  <c r="A82" i="22"/>
  <c r="B82" i="22"/>
  <c r="C82" i="22"/>
  <c r="D82" i="22"/>
  <c r="E82" i="22"/>
  <c r="F82" i="22"/>
  <c r="G82" i="22"/>
  <c r="H82" i="22"/>
  <c r="I82" i="22"/>
  <c r="J82" i="22"/>
  <c r="K82" i="22"/>
  <c r="L82" i="22"/>
  <c r="M82" i="22"/>
  <c r="N82" i="22"/>
  <c r="O82" i="22"/>
  <c r="P82" i="22"/>
  <c r="Q82" i="22"/>
  <c r="R82" i="22"/>
  <c r="S82" i="22"/>
  <c r="T82" i="22"/>
  <c r="U82" i="22"/>
  <c r="V82" i="22"/>
  <c r="W82" i="22"/>
  <c r="X82" i="22"/>
  <c r="Y82" i="22"/>
  <c r="Z82" i="22"/>
  <c r="AA82" i="22"/>
  <c r="AB82" i="22"/>
  <c r="AC82" i="22"/>
  <c r="AD82" i="22"/>
  <c r="AE82" i="22"/>
  <c r="AF82" i="22"/>
  <c r="AG82" i="22"/>
  <c r="AH82" i="22"/>
  <c r="AI82" i="22"/>
  <c r="AJ82" i="22"/>
  <c r="AK82" i="22"/>
  <c r="AL82" i="22"/>
  <c r="AM82" i="22"/>
  <c r="AN82" i="22"/>
  <c r="AO82" i="22"/>
  <c r="AP82" i="22"/>
  <c r="AQ82" i="22"/>
  <c r="AR82" i="22"/>
  <c r="AS82" i="22"/>
  <c r="AT82" i="22"/>
  <c r="AU82" i="22"/>
  <c r="AV82" i="22"/>
  <c r="AW82" i="22"/>
  <c r="AX82" i="22"/>
  <c r="AY82" i="22"/>
  <c r="AZ82" i="22"/>
  <c r="BA82" i="22"/>
  <c r="BB82" i="22"/>
  <c r="BC82" i="22"/>
  <c r="BD82" i="22"/>
  <c r="BE82" i="22"/>
  <c r="BF82" i="22"/>
  <c r="BG82" i="22"/>
  <c r="BH82" i="22"/>
  <c r="BI82" i="22"/>
  <c r="BJ82" i="22"/>
  <c r="BK82" i="22"/>
  <c r="BL82" i="22"/>
  <c r="BM82" i="22"/>
  <c r="BN82" i="22"/>
  <c r="BO82" i="22"/>
  <c r="BP82" i="22"/>
  <c r="BQ82" i="22"/>
  <c r="BR82" i="22"/>
  <c r="BS82" i="22"/>
  <c r="BT82" i="22"/>
  <c r="BU82" i="22"/>
  <c r="BV82" i="22"/>
  <c r="BW82" i="22"/>
  <c r="BX82" i="22"/>
  <c r="BY82" i="22"/>
  <c r="BZ82" i="22"/>
  <c r="CA82" i="22"/>
  <c r="CB82" i="22"/>
  <c r="A83" i="22"/>
  <c r="B83" i="22"/>
  <c r="C83" i="22"/>
  <c r="D83" i="22"/>
  <c r="CB90" i="22"/>
  <c r="BL90" i="22"/>
  <c r="N83" i="22"/>
  <c r="BD83" i="22"/>
  <c r="BY83" i="22"/>
  <c r="AK84" i="22"/>
  <c r="AZ84" i="22"/>
  <c r="C85" i="22"/>
  <c r="G85" i="22"/>
  <c r="Y85" i="22"/>
  <c r="AF85" i="22"/>
  <c r="BG85" i="22"/>
  <c r="BH85" i="22"/>
  <c r="BL85" i="22"/>
  <c r="BO85" i="22"/>
  <c r="BQ85" i="22"/>
  <c r="BU85" i="22"/>
  <c r="AM86" i="22"/>
  <c r="AN86" i="22"/>
  <c r="AP86" i="22"/>
  <c r="AT86" i="22"/>
  <c r="AY86" i="22"/>
  <c r="BL86" i="22"/>
  <c r="K87" i="22"/>
  <c r="M87" i="22"/>
  <c r="AA87" i="22"/>
  <c r="BI87" i="22"/>
  <c r="BO87" i="22"/>
  <c r="BQ87" i="22"/>
  <c r="BS87" i="22"/>
  <c r="C88" i="22"/>
  <c r="D88" i="22"/>
  <c r="J88" i="22"/>
  <c r="L88" i="22"/>
  <c r="Q88" i="22"/>
  <c r="R88" i="22"/>
  <c r="T88" i="22"/>
  <c r="BF88" i="22"/>
  <c r="BN88" i="22"/>
  <c r="BW88" i="22"/>
  <c r="BY88" i="22"/>
  <c r="AI89" i="22"/>
  <c r="BQ89" i="22"/>
  <c r="BW89" i="22"/>
  <c r="C90" i="22"/>
  <c r="K90" i="22"/>
  <c r="U90" i="22"/>
  <c r="AC90" i="22"/>
  <c r="AF90" i="22"/>
  <c r="AI90" i="22"/>
  <c r="BF90" i="22"/>
  <c r="BG90" i="22"/>
  <c r="BY90" i="22"/>
  <c r="BI90" i="22"/>
  <c r="G83" i="22"/>
  <c r="M83" i="22"/>
  <c r="U83" i="22"/>
  <c r="AB83" i="22"/>
  <c r="AN83" i="22"/>
  <c r="BC83" i="22"/>
  <c r="BP83" i="22"/>
  <c r="BX83" i="22"/>
  <c r="BT84" i="22"/>
  <c r="BY84" i="22"/>
  <c r="B85" i="22"/>
  <c r="T85" i="22"/>
  <c r="X85" i="22"/>
  <c r="BF85" i="22"/>
  <c r="BM85" i="22"/>
  <c r="BP85" i="22"/>
  <c r="BY85" i="22"/>
  <c r="B86" i="22"/>
  <c r="F86" i="22"/>
  <c r="N86" i="22"/>
  <c r="O86" i="22"/>
  <c r="T86" i="22"/>
  <c r="AO86" i="22"/>
  <c r="G87" i="22"/>
  <c r="J87" i="22"/>
  <c r="L87" i="22"/>
  <c r="N87" i="22"/>
  <c r="W87" i="22"/>
  <c r="X87" i="22"/>
  <c r="AL87" i="22"/>
  <c r="BA87" i="22"/>
  <c r="BH87" i="22"/>
  <c r="BJ87" i="22"/>
  <c r="BP87" i="22"/>
  <c r="BU87" i="22"/>
  <c r="BW87" i="22"/>
  <c r="BY87" i="22"/>
  <c r="E88" i="22"/>
  <c r="K88" i="22"/>
  <c r="P88" i="22"/>
  <c r="S88" i="22"/>
  <c r="U88" i="22"/>
  <c r="BC88" i="22"/>
  <c r="BP88" i="22"/>
  <c r="BX88" i="22"/>
  <c r="N89" i="22"/>
  <c r="U89" i="22"/>
  <c r="V89" i="22"/>
  <c r="AM89" i="22"/>
  <c r="BH89" i="22"/>
  <c r="BR89" i="22"/>
  <c r="BV89" i="22"/>
  <c r="B90" i="22"/>
  <c r="H90" i="22"/>
  <c r="I90" i="22"/>
  <c r="J90" i="22"/>
  <c r="L90" i="22"/>
  <c r="V90" i="22"/>
  <c r="AB90" i="22"/>
  <c r="BV90" i="22"/>
  <c r="BC90" i="22"/>
  <c r="F83" i="22"/>
  <c r="I83" i="22"/>
  <c r="K83" i="22"/>
  <c r="AC83" i="22"/>
  <c r="AD83" i="22"/>
  <c r="AE83" i="22"/>
  <c r="AH83" i="22"/>
  <c r="AI83" i="22"/>
  <c r="AJ83" i="22"/>
  <c r="AK83" i="22"/>
  <c r="AS83" i="22"/>
  <c r="AT83" i="22"/>
  <c r="AV83" i="22"/>
  <c r="BL83" i="22"/>
  <c r="BQ83" i="22"/>
  <c r="BU83" i="22"/>
  <c r="BV83" i="22"/>
  <c r="C84" i="22"/>
  <c r="G84" i="22"/>
  <c r="L84" i="22"/>
  <c r="X84" i="22"/>
  <c r="AC84" i="22"/>
  <c r="AD84" i="22"/>
  <c r="AR84" i="22"/>
  <c r="AT84" i="22"/>
  <c r="AX84" i="22"/>
  <c r="AY84" i="22"/>
  <c r="BB84" i="22"/>
  <c r="BC84" i="22"/>
  <c r="BF84" i="22"/>
  <c r="BO84" i="22"/>
  <c r="BW84" i="22"/>
  <c r="BX84" i="22"/>
  <c r="E85" i="22"/>
  <c r="F85" i="22"/>
  <c r="J85" i="22"/>
  <c r="K85" i="22"/>
  <c r="N85" i="22"/>
  <c r="O85" i="22"/>
  <c r="P85" i="22"/>
  <c r="U85" i="22"/>
  <c r="V85" i="22"/>
  <c r="AM85" i="22"/>
  <c r="AO85" i="22"/>
  <c r="AQ85" i="22"/>
  <c r="AT85" i="22"/>
  <c r="AU85" i="22"/>
  <c r="BW85" i="22"/>
  <c r="BX85" i="22"/>
  <c r="A86" i="22"/>
  <c r="G86" i="22"/>
  <c r="H86" i="22"/>
  <c r="M86" i="22"/>
  <c r="AF86" i="22"/>
  <c r="AJ86" i="22"/>
  <c r="AV86" i="22"/>
  <c r="BA86" i="22"/>
  <c r="BF86" i="22"/>
  <c r="BI86" i="22"/>
  <c r="BJ86" i="22"/>
  <c r="BN86" i="22"/>
  <c r="BP86" i="22"/>
  <c r="BQ86" i="22"/>
  <c r="BR86" i="22"/>
  <c r="BS86" i="22"/>
  <c r="BT86" i="22"/>
  <c r="BU86" i="22"/>
  <c r="BV86" i="22"/>
  <c r="BW86" i="22"/>
  <c r="BX86" i="22"/>
  <c r="BZ86" i="22"/>
  <c r="CA86" i="22"/>
  <c r="C87" i="22"/>
  <c r="D87" i="22"/>
  <c r="I87" i="22"/>
  <c r="O87" i="22"/>
  <c r="AP87" i="22"/>
  <c r="AQ87" i="22"/>
  <c r="AX87" i="22"/>
  <c r="BD87" i="22"/>
  <c r="BM87" i="22"/>
  <c r="BR87" i="22"/>
  <c r="H88" i="22"/>
  <c r="I88" i="22"/>
  <c r="AE88" i="22"/>
  <c r="AG88" i="22"/>
  <c r="AK88" i="22"/>
  <c r="AO88" i="22"/>
  <c r="AY88" i="22"/>
  <c r="E89" i="22"/>
  <c r="AA89" i="22"/>
  <c r="AR89" i="22"/>
  <c r="AT89" i="22"/>
  <c r="AV89" i="22"/>
  <c r="AY89" i="22"/>
  <c r="AZ89" i="22"/>
  <c r="BA89" i="22"/>
  <c r="BB89" i="22"/>
  <c r="BC89" i="22"/>
  <c r="BD89" i="22"/>
  <c r="BE89" i="22"/>
  <c r="BF89" i="22"/>
  <c r="BJ89" i="22"/>
  <c r="BY89" i="22"/>
  <c r="CA89" i="22"/>
  <c r="D90" i="22"/>
  <c r="E90" i="22"/>
  <c r="F90" i="22"/>
  <c r="G90" i="22"/>
  <c r="T90" i="22"/>
  <c r="W90" i="22"/>
  <c r="X90" i="22"/>
  <c r="Z90" i="22"/>
  <c r="AA90" i="22"/>
  <c r="AJ90" i="22"/>
  <c r="BH90" i="22"/>
  <c r="BZ90" i="22"/>
  <c r="BP89" i="22"/>
  <c r="AU89" i="22"/>
  <c r="L83" i="22"/>
  <c r="O83" i="22"/>
  <c r="P83" i="22"/>
  <c r="S83" i="22"/>
  <c r="T83" i="22"/>
  <c r="V83" i="22"/>
  <c r="W83" i="22"/>
  <c r="X83" i="22"/>
  <c r="Y83" i="22"/>
  <c r="Z83" i="22"/>
  <c r="AM83" i="22"/>
  <c r="AO83" i="22"/>
  <c r="AP83" i="22"/>
  <c r="AQ83" i="22"/>
  <c r="AR83" i="22"/>
  <c r="AU83" i="22"/>
  <c r="AX83" i="22"/>
  <c r="AY83" i="22"/>
  <c r="BE83" i="22"/>
  <c r="BF83" i="22"/>
  <c r="BG83" i="22"/>
  <c r="BH83" i="22"/>
  <c r="BI83" i="22"/>
  <c r="BJ83" i="22"/>
  <c r="BR83" i="22"/>
  <c r="BS83" i="22"/>
  <c r="CA83" i="22"/>
  <c r="CB83" i="22"/>
  <c r="A84" i="22"/>
  <c r="B84" i="22"/>
  <c r="E84" i="22"/>
  <c r="K84" i="22"/>
  <c r="M84" i="22"/>
  <c r="Q84" i="22"/>
  <c r="R84" i="22"/>
  <c r="S84" i="22"/>
  <c r="T84" i="22"/>
  <c r="U84" i="22"/>
  <c r="V84" i="22"/>
  <c r="AA84" i="22"/>
  <c r="AB84" i="22"/>
  <c r="AE84" i="22"/>
  <c r="AF84" i="22"/>
  <c r="AG84" i="22"/>
  <c r="AH84" i="22"/>
  <c r="AI84" i="22"/>
  <c r="AJ84" i="22"/>
  <c r="AM84" i="22"/>
  <c r="AN84" i="22"/>
  <c r="BD84" i="22"/>
  <c r="BG84" i="22"/>
  <c r="BH84" i="22"/>
  <c r="BI84" i="22"/>
  <c r="BJ84" i="22"/>
  <c r="BK84" i="22"/>
  <c r="BL84" i="22"/>
  <c r="BM84" i="22"/>
  <c r="BP84" i="22"/>
  <c r="BU84" i="22"/>
  <c r="BV84" i="22"/>
  <c r="L85" i="22"/>
  <c r="M85" i="22"/>
  <c r="Q85" i="22"/>
  <c r="AA85" i="22"/>
  <c r="AD85" i="22"/>
  <c r="AE85" i="22"/>
  <c r="AG85" i="22"/>
  <c r="AK85" i="22"/>
  <c r="AN85" i="22"/>
  <c r="AP85" i="22"/>
  <c r="AR85" i="22"/>
  <c r="AS85" i="22"/>
  <c r="AW85" i="22"/>
  <c r="AX85" i="22"/>
  <c r="AY85" i="22"/>
  <c r="AZ85" i="22"/>
  <c r="BA85" i="22"/>
  <c r="BD85" i="22"/>
  <c r="BR85" i="22"/>
  <c r="BS85" i="22"/>
  <c r="BT85" i="22"/>
  <c r="BV85" i="22"/>
  <c r="BZ85" i="22"/>
  <c r="CB85" i="22"/>
  <c r="C86" i="22"/>
  <c r="D86" i="22"/>
  <c r="E86" i="22"/>
  <c r="I86" i="22"/>
  <c r="L86" i="22"/>
  <c r="P86" i="22"/>
  <c r="Q86" i="22"/>
  <c r="R86" i="22"/>
  <c r="S86" i="22"/>
  <c r="U86" i="22"/>
  <c r="Y86" i="22"/>
  <c r="Z86" i="22"/>
  <c r="AA86" i="22"/>
  <c r="AB86" i="22"/>
  <c r="AC86" i="22"/>
  <c r="AS86" i="22"/>
  <c r="BB86" i="22"/>
  <c r="BD86" i="22"/>
  <c r="BE86" i="22"/>
  <c r="BG86" i="22"/>
  <c r="BH86" i="22"/>
  <c r="BM86" i="22"/>
  <c r="BY86" i="22"/>
  <c r="CB86" i="22"/>
  <c r="A87" i="22"/>
  <c r="B87" i="22"/>
  <c r="E87" i="22"/>
  <c r="F87" i="22"/>
  <c r="P87" i="22"/>
  <c r="Q87" i="22"/>
  <c r="R87" i="22"/>
  <c r="S87" i="22"/>
  <c r="T87" i="22"/>
  <c r="AB87" i="22"/>
  <c r="AF87" i="22"/>
  <c r="AG87" i="22"/>
  <c r="AJ87" i="22"/>
  <c r="AM87" i="22"/>
  <c r="AR87" i="22"/>
  <c r="AS87" i="22"/>
  <c r="AT87" i="22"/>
  <c r="AU87" i="22"/>
  <c r="AV87" i="22"/>
  <c r="AZ87" i="22"/>
  <c r="BB87" i="22"/>
  <c r="BC87" i="22"/>
  <c r="BX87" i="22"/>
  <c r="G88" i="22"/>
  <c r="N88" i="22"/>
  <c r="W88" i="22"/>
  <c r="X88" i="22"/>
  <c r="Z88" i="22"/>
  <c r="AF88" i="22"/>
  <c r="AH88" i="22"/>
  <c r="AL88" i="22"/>
  <c r="AM88" i="22"/>
  <c r="AP88" i="22"/>
  <c r="AQ88" i="22"/>
  <c r="BT88" i="22"/>
  <c r="BU88" i="22"/>
  <c r="BZ88" i="22"/>
  <c r="CA88" i="22"/>
  <c r="CB88" i="22"/>
  <c r="A89" i="22"/>
  <c r="B89" i="22"/>
  <c r="C89" i="22"/>
  <c r="D89" i="22"/>
  <c r="H89" i="22"/>
  <c r="I89" i="22"/>
  <c r="J89" i="22"/>
  <c r="K89" i="22"/>
  <c r="L89" i="22"/>
  <c r="M89" i="22"/>
  <c r="P89" i="22"/>
  <c r="T89" i="22"/>
  <c r="W89" i="22"/>
  <c r="AJ89" i="22"/>
  <c r="AN89" i="22"/>
  <c r="AO89" i="22"/>
  <c r="AP89" i="22"/>
  <c r="AQ89" i="22"/>
  <c r="AW89" i="22"/>
  <c r="AX89" i="22"/>
  <c r="BK89" i="22"/>
  <c r="BL89" i="22"/>
  <c r="BM89" i="22"/>
  <c r="BN89" i="22"/>
  <c r="BO89" i="22"/>
  <c r="BS89" i="22"/>
  <c r="BT89" i="22"/>
  <c r="BU89" i="22"/>
  <c r="CB89" i="22"/>
  <c r="M90" i="22"/>
  <c r="N90" i="22"/>
  <c r="O90" i="22"/>
  <c r="P90" i="22"/>
  <c r="Q90" i="22"/>
  <c r="R90" i="22"/>
  <c r="S90" i="22"/>
  <c r="Y90" i="22"/>
  <c r="AE90" i="22"/>
  <c r="AG90" i="22"/>
  <c r="AH90" i="22"/>
  <c r="AK90" i="22"/>
  <c r="AL90" i="22"/>
  <c r="AM90" i="22"/>
  <c r="AN90" i="22"/>
  <c r="AO90" i="22"/>
  <c r="AP90" i="22"/>
  <c r="AQ90" i="22"/>
  <c r="AR90" i="22"/>
  <c r="AS90" i="22"/>
  <c r="AT90" i="22"/>
  <c r="AU90" i="22"/>
  <c r="AV90" i="22"/>
  <c r="AW90" i="22"/>
  <c r="AX90" i="22"/>
  <c r="AZ90" i="22"/>
  <c r="BE90" i="22"/>
  <c r="BJ90" i="22"/>
  <c r="BK90" i="22"/>
  <c r="BM90" i="22"/>
  <c r="BN90" i="22"/>
  <c r="BO90" i="22"/>
  <c r="BP90" i="22"/>
  <c r="BR90" i="22"/>
  <c r="BT90" i="22"/>
  <c r="BU90" i="22"/>
  <c r="BW90" i="22"/>
  <c r="BX90" i="22"/>
  <c r="AS89" i="22"/>
  <c r="AB89" i="22"/>
  <c r="O89" i="22"/>
  <c r="E83" i="22"/>
  <c r="R83" i="22"/>
  <c r="AF83" i="22"/>
  <c r="AG83" i="22"/>
  <c r="AL83" i="22"/>
  <c r="AZ83" i="22"/>
  <c r="BA83" i="22"/>
  <c r="BK83" i="22"/>
  <c r="BM83" i="22"/>
  <c r="BN83" i="22"/>
  <c r="BO83" i="22"/>
  <c r="D84" i="22"/>
  <c r="F84" i="22"/>
  <c r="H84" i="22"/>
  <c r="I84" i="22"/>
  <c r="J84" i="22"/>
  <c r="Y84" i="22"/>
  <c r="Z84" i="22"/>
  <c r="AS84" i="22"/>
  <c r="AU84" i="22"/>
  <c r="AV84" i="22"/>
  <c r="AW84" i="22"/>
  <c r="BE84" i="22"/>
  <c r="BN84" i="22"/>
  <c r="BQ84" i="22"/>
  <c r="BR84" i="22"/>
  <c r="BS84" i="22"/>
  <c r="CB84" i="22"/>
  <c r="A85" i="22"/>
  <c r="D85" i="22"/>
  <c r="H85" i="22"/>
  <c r="I85" i="22"/>
  <c r="W85" i="22"/>
  <c r="AB85" i="22"/>
  <c r="AC85" i="22"/>
  <c r="AH85" i="22"/>
  <c r="AI85" i="22"/>
  <c r="AJ85" i="22"/>
  <c r="AV85" i="22"/>
  <c r="BE85" i="22"/>
  <c r="BK85" i="22"/>
  <c r="J86" i="22"/>
  <c r="W86" i="22"/>
  <c r="X86" i="22"/>
  <c r="AE86" i="22"/>
  <c r="AK86" i="22"/>
  <c r="AL86" i="22"/>
  <c r="U87" i="22"/>
  <c r="V87" i="22"/>
  <c r="Z87" i="22"/>
  <c r="AH87" i="22"/>
  <c r="AW87" i="22"/>
  <c r="BF87" i="22"/>
  <c r="BG87" i="22"/>
  <c r="BT87" i="22"/>
  <c r="BZ87" i="22"/>
  <c r="CA87" i="22"/>
  <c r="CB87" i="22"/>
  <c r="A88" i="22"/>
  <c r="O88" i="22"/>
  <c r="AA88" i="22"/>
  <c r="AB88" i="22"/>
  <c r="AC88" i="22"/>
  <c r="AD88" i="22"/>
  <c r="AJ88" i="22"/>
  <c r="AN88" i="22"/>
  <c r="AR88" i="22"/>
  <c r="AS88" i="22"/>
  <c r="AT88" i="22"/>
  <c r="AU88" i="22"/>
  <c r="AV88" i="22"/>
  <c r="AW88" i="22"/>
  <c r="AX88" i="22"/>
  <c r="BB88" i="22"/>
  <c r="BE88" i="22"/>
  <c r="BG88" i="22"/>
  <c r="BI88" i="22"/>
  <c r="BJ88" i="22"/>
  <c r="BK88" i="22"/>
  <c r="BR88" i="22"/>
  <c r="BS88" i="22"/>
  <c r="Q89" i="22"/>
  <c r="R89" i="22"/>
  <c r="X89" i="22"/>
  <c r="Y89" i="22"/>
  <c r="Z89" i="22"/>
  <c r="AD89" i="22"/>
  <c r="AE89" i="22"/>
  <c r="AF89" i="22"/>
  <c r="AG89" i="22"/>
  <c r="AH89" i="22"/>
  <c r="AK89" i="22"/>
  <c r="AL89" i="22"/>
  <c r="BG89" i="22"/>
  <c r="BX89" i="22"/>
  <c r="BZ89" i="22"/>
  <c r="AD90" i="22"/>
  <c r="AY90" i="22"/>
  <c r="BD90" i="22"/>
  <c r="BQ90" i="22"/>
  <c r="CA90" i="22"/>
  <c r="G89" i="22"/>
  <c r="F89" i="22"/>
  <c r="BM88" i="22"/>
  <c r="BH88" i="22"/>
  <c r="H83" i="22"/>
  <c r="J83" i="22"/>
  <c r="Q83" i="22"/>
  <c r="BT83" i="22"/>
  <c r="O84" i="22"/>
  <c r="P84" i="22"/>
  <c r="W84" i="22"/>
  <c r="AP84" i="22"/>
  <c r="AQ84" i="22"/>
  <c r="BA84" i="22"/>
  <c r="BZ84" i="22"/>
  <c r="S85" i="22"/>
  <c r="BB85" i="22"/>
  <c r="BC85" i="22"/>
  <c r="BI85" i="22"/>
  <c r="BJ85" i="22"/>
  <c r="BN85" i="22"/>
  <c r="CA85" i="22"/>
  <c r="V86" i="22"/>
  <c r="AD86" i="22"/>
  <c r="AG86" i="22"/>
  <c r="AH86" i="22"/>
  <c r="AI86" i="22"/>
  <c r="AQ86" i="22"/>
  <c r="AR86" i="22"/>
  <c r="AU86" i="22"/>
  <c r="AW86" i="22"/>
  <c r="AX86" i="22"/>
  <c r="Y87" i="22"/>
  <c r="AC87" i="22"/>
  <c r="AI87" i="22"/>
  <c r="AN87" i="22"/>
  <c r="BE87" i="22"/>
  <c r="BL87" i="22"/>
  <c r="B88" i="22"/>
  <c r="V88" i="22"/>
  <c r="AI88" i="22"/>
  <c r="BL88" i="22"/>
  <c r="BO88" i="22"/>
  <c r="BQ88" i="22"/>
  <c r="BV88" i="22"/>
  <c r="S89" i="22"/>
  <c r="AC89" i="22"/>
  <c r="BI89" i="22"/>
  <c r="A90" i="22"/>
  <c r="BA90" i="22"/>
  <c r="BB90" i="22"/>
  <c r="BS90" i="22"/>
  <c r="AA83" i="22"/>
  <c r="AW83" i="22"/>
  <c r="BB83" i="22"/>
  <c r="BW83" i="22"/>
  <c r="BZ83" i="22"/>
  <c r="N84" i="22"/>
  <c r="AL84" i="22"/>
  <c r="AO84" i="22"/>
  <c r="CA84" i="22"/>
  <c r="R85" i="22"/>
  <c r="Z85" i="22"/>
  <c r="AL85" i="22"/>
  <c r="K86" i="22"/>
  <c r="AZ86" i="22"/>
  <c r="BC86" i="22"/>
  <c r="BK86" i="22"/>
  <c r="BO86" i="22"/>
  <c r="H87" i="22"/>
  <c r="AD87" i="22"/>
  <c r="AE87" i="22"/>
  <c r="AK87" i="22"/>
  <c r="AO87" i="22"/>
  <c r="AY87" i="22"/>
  <c r="BK87" i="22"/>
  <c r="BN87" i="22"/>
  <c r="C662" i="22" s="1"/>
  <c r="BV87" i="22"/>
  <c r="D659" i="22" s="1"/>
  <c r="F88" i="22"/>
  <c r="M88" i="22"/>
  <c r="D598" i="22" s="1"/>
  <c r="Y88" i="22"/>
  <c r="D610" i="22" s="1"/>
  <c r="AZ88" i="22"/>
  <c r="D637" i="22" s="1"/>
  <c r="BA88" i="22"/>
  <c r="D638" i="22" s="1"/>
  <c r="J51" i="22"/>
  <c r="B4" i="22"/>
  <c r="A421" i="22" a="1"/>
  <c r="G586" i="22"/>
  <c r="H586" i="22"/>
  <c r="C586" i="22"/>
  <c r="D586" i="22"/>
  <c r="C90" i="8"/>
  <c r="B7" i="22"/>
  <c r="G632" i="22"/>
  <c r="G603" i="22"/>
  <c r="G602" i="22"/>
  <c r="G600" i="22"/>
  <c r="G596" i="22"/>
  <c r="G662" i="22"/>
  <c r="C615" i="22"/>
  <c r="C598" i="22"/>
  <c r="C647" i="22"/>
  <c r="G599" i="22"/>
  <c r="G636" i="22"/>
  <c r="G645" i="22"/>
  <c r="G649" i="22"/>
  <c r="G638" i="22"/>
  <c r="C630" i="22"/>
  <c r="C660" i="22"/>
  <c r="G633" i="22"/>
  <c r="G620" i="22"/>
  <c r="G615" i="22"/>
  <c r="G612" i="22"/>
  <c r="G611" i="22"/>
  <c r="G592" i="22"/>
  <c r="G661" i="22"/>
  <c r="G663" i="22"/>
  <c r="G626" i="22"/>
  <c r="G622" i="22"/>
  <c r="G657" i="22"/>
  <c r="G658" i="22"/>
  <c r="G659" i="22"/>
  <c r="G647" i="22"/>
  <c r="C618" i="22"/>
  <c r="C614" i="22"/>
  <c r="G609" i="22"/>
  <c r="G593" i="22"/>
  <c r="G656" i="22"/>
  <c r="G660" i="22"/>
  <c r="G644" i="22"/>
  <c r="C617" i="22"/>
  <c r="C601" i="22"/>
  <c r="C600" i="22"/>
  <c r="C629" i="22"/>
  <c r="G591" i="22"/>
  <c r="H665" i="22"/>
  <c r="H664" i="22"/>
  <c r="H663" i="22"/>
  <c r="H662" i="22"/>
  <c r="H661" i="22"/>
  <c r="H660" i="22"/>
  <c r="H659" i="22"/>
  <c r="H658" i="22"/>
  <c r="H657" i="22"/>
  <c r="H656" i="22"/>
  <c r="H655" i="22"/>
  <c r="H654" i="22"/>
  <c r="H653" i="22"/>
  <c r="H652" i="22"/>
  <c r="H651" i="22"/>
  <c r="H650" i="22"/>
  <c r="H649" i="22"/>
  <c r="H648" i="22"/>
  <c r="H647" i="22"/>
  <c r="H646" i="22"/>
  <c r="H645" i="22"/>
  <c r="H644" i="22"/>
  <c r="H643" i="22"/>
  <c r="H642" i="22"/>
  <c r="H641" i="22"/>
  <c r="H640" i="22"/>
  <c r="H639" i="22"/>
  <c r="H638" i="22"/>
  <c r="H637" i="22"/>
  <c r="H636" i="22"/>
  <c r="H635" i="22"/>
  <c r="H634" i="22"/>
  <c r="H633" i="22"/>
  <c r="H632" i="22"/>
  <c r="H631" i="22"/>
  <c r="H630" i="22"/>
  <c r="H629" i="22"/>
  <c r="H628" i="22"/>
  <c r="H627" i="22"/>
  <c r="H626" i="22"/>
  <c r="H625" i="22"/>
  <c r="H624" i="22"/>
  <c r="H623" i="22"/>
  <c r="H622" i="22"/>
  <c r="H621" i="22"/>
  <c r="H620" i="22"/>
  <c r="H619" i="22"/>
  <c r="H618" i="22"/>
  <c r="H617" i="22"/>
  <c r="H616" i="22"/>
  <c r="H615" i="22"/>
  <c r="H614" i="22"/>
  <c r="H613" i="22"/>
  <c r="H612" i="22"/>
  <c r="H611" i="22"/>
  <c r="H610" i="22"/>
  <c r="H609" i="22"/>
  <c r="H608" i="22"/>
  <c r="H607" i="22"/>
  <c r="H606" i="22"/>
  <c r="H605" i="22"/>
  <c r="H604" i="22"/>
  <c r="H603" i="22"/>
  <c r="H602" i="22"/>
  <c r="H601" i="22"/>
  <c r="H600" i="22"/>
  <c r="H599" i="22"/>
  <c r="H598" i="22"/>
  <c r="H597" i="22"/>
  <c r="H596" i="22"/>
  <c r="H595" i="22"/>
  <c r="H594" i="22"/>
  <c r="H593" i="22"/>
  <c r="H592" i="22"/>
  <c r="H591" i="22"/>
  <c r="H590" i="22"/>
  <c r="H589" i="22"/>
  <c r="H588" i="22"/>
  <c r="H587" i="22"/>
  <c r="G642" i="22"/>
  <c r="G654" i="22"/>
  <c r="G650" i="22"/>
  <c r="C645" i="22"/>
  <c r="C664" i="22"/>
  <c r="G664" i="22"/>
  <c r="G665" i="22"/>
  <c r="G653" i="22"/>
  <c r="G635" i="22"/>
  <c r="G637" i="22"/>
  <c r="G643" i="22"/>
  <c r="G646" i="22"/>
  <c r="G651" i="22"/>
  <c r="G652" i="22"/>
  <c r="G640" i="22"/>
  <c r="C599" i="22"/>
  <c r="G655" i="22"/>
  <c r="G639" i="22"/>
  <c r="G641" i="22"/>
  <c r="G648" i="22"/>
  <c r="G634" i="22"/>
  <c r="C625" i="22"/>
  <c r="C619" i="22"/>
  <c r="C596" i="22"/>
  <c r="C649" i="22"/>
  <c r="C613" i="22"/>
  <c r="C597" i="22"/>
  <c r="C648" i="22"/>
  <c r="C595" i="22"/>
  <c r="D665" i="22"/>
  <c r="D664" i="22"/>
  <c r="D663" i="22"/>
  <c r="D662" i="22"/>
  <c r="D661" i="22"/>
  <c r="D660" i="22"/>
  <c r="D658" i="22"/>
  <c r="D657" i="22"/>
  <c r="D656" i="22"/>
  <c r="D655" i="22"/>
  <c r="D654" i="22"/>
  <c r="D653" i="22"/>
  <c r="D652" i="22"/>
  <c r="D651" i="22"/>
  <c r="D650" i="22"/>
  <c r="D649" i="22"/>
  <c r="D648" i="22"/>
  <c r="D647" i="22"/>
  <c r="D646" i="22"/>
  <c r="D645" i="22"/>
  <c r="D644" i="22"/>
  <c r="D643" i="22"/>
  <c r="D642" i="22"/>
  <c r="D641" i="22"/>
  <c r="D640" i="22"/>
  <c r="D639" i="22"/>
  <c r="D636" i="22"/>
  <c r="D635" i="22"/>
  <c r="D634" i="22"/>
  <c r="D633" i="22"/>
  <c r="D632" i="22"/>
  <c r="D631" i="22"/>
  <c r="D630" i="22"/>
  <c r="D629" i="22"/>
  <c r="D628" i="22"/>
  <c r="D627" i="22"/>
  <c r="D625" i="22"/>
  <c r="D624" i="22"/>
  <c r="D623" i="22"/>
  <c r="D622" i="22"/>
  <c r="D621" i="22"/>
  <c r="D620" i="22"/>
  <c r="D619" i="22"/>
  <c r="D618" i="22"/>
  <c r="D617" i="22"/>
  <c r="D616" i="22"/>
  <c r="D615" i="22"/>
  <c r="D614" i="22"/>
  <c r="D613" i="22"/>
  <c r="D612" i="22"/>
  <c r="D611" i="22"/>
  <c r="D609" i="22"/>
  <c r="D608" i="22"/>
  <c r="D607" i="22"/>
  <c r="D606" i="22"/>
  <c r="D605" i="22"/>
  <c r="D604" i="22"/>
  <c r="D603" i="22"/>
  <c r="D602" i="22"/>
  <c r="D601" i="22"/>
  <c r="D600" i="22"/>
  <c r="D599" i="22"/>
  <c r="D597" i="22"/>
  <c r="D596" i="22"/>
  <c r="D594" i="22"/>
  <c r="D593" i="22"/>
  <c r="D592" i="22"/>
  <c r="D590" i="22"/>
  <c r="D589" i="22"/>
  <c r="D588" i="22"/>
  <c r="D587" i="22"/>
  <c r="C627" i="22"/>
  <c r="C628" i="22"/>
  <c r="C631" i="22"/>
  <c r="C646" i="22"/>
  <c r="C632" i="22"/>
  <c r="C633" i="22"/>
  <c r="C634" i="22"/>
  <c r="C635" i="22"/>
  <c r="C636" i="22"/>
  <c r="C637" i="22"/>
  <c r="C638" i="22"/>
  <c r="C639" i="22"/>
  <c r="C640" i="22"/>
  <c r="C641" i="22"/>
  <c r="C642" i="22"/>
  <c r="C643" i="22"/>
  <c r="C644" i="22"/>
  <c r="C650" i="22"/>
  <c r="C651" i="22"/>
  <c r="C652" i="22"/>
  <c r="C653" i="22"/>
  <c r="C654" i="22"/>
  <c r="C655" i="22"/>
  <c r="C656" i="22"/>
  <c r="C657" i="22"/>
  <c r="C658" i="22"/>
  <c r="C661" i="22"/>
  <c r="C665" i="22"/>
  <c r="M44" i="26" l="1"/>
  <c r="M45" i="26"/>
  <c r="M46" i="26"/>
  <c r="C47" i="26"/>
  <c r="C44" i="26"/>
  <c r="C45" i="26"/>
  <c r="C46" i="26"/>
  <c r="M47" i="26"/>
  <c r="C48" i="26"/>
  <c r="M48" i="26"/>
  <c r="C49" i="26"/>
  <c r="M49" i="26"/>
  <c r="AB49" i="26"/>
  <c r="R44" i="26"/>
  <c r="R45" i="26"/>
  <c r="R49" i="26"/>
  <c r="AB44" i="26"/>
  <c r="AB45" i="26"/>
  <c r="R46" i="26"/>
  <c r="AB46" i="26"/>
  <c r="R47" i="26"/>
  <c r="AB47" i="26"/>
  <c r="R48" i="26"/>
  <c r="AB48" i="26"/>
  <c r="B26" i="27"/>
  <c r="N26" i="27"/>
  <c r="B27" i="27"/>
  <c r="N27" i="27"/>
  <c r="B28" i="27"/>
  <c r="N28" i="27"/>
  <c r="B29" i="27"/>
  <c r="N29" i="27"/>
  <c r="B30" i="27"/>
  <c r="N30" i="27"/>
  <c r="B31" i="27"/>
  <c r="N31" i="27"/>
  <c r="B681" i="22"/>
  <c r="C89" i="13" s="1"/>
  <c r="G607" i="22"/>
  <c r="B683" i="22"/>
  <c r="B682" i="22"/>
  <c r="C90" i="13" s="1"/>
  <c r="G629" i="22"/>
  <c r="G631" i="22"/>
  <c r="G613" i="22"/>
  <c r="G595" i="22"/>
  <c r="AJ8" i="27"/>
  <c r="B34" i="27"/>
  <c r="B19" i="26"/>
  <c r="B51" i="27"/>
  <c r="C13" i="28"/>
  <c r="C23" i="28" s="1"/>
  <c r="C40" i="28"/>
  <c r="D40" i="28"/>
  <c r="C659" i="22"/>
  <c r="D626" i="22"/>
  <c r="C663" i="22"/>
  <c r="D591" i="22"/>
  <c r="D595" i="22"/>
  <c r="A175" i="22" a="1"/>
  <c r="C626" i="22"/>
  <c r="N2" i="27"/>
  <c r="D8" i="23"/>
  <c r="F2" i="24"/>
  <c r="E2" i="24"/>
  <c r="B31" i="23"/>
  <c r="H18" i="23"/>
  <c r="G18" i="23"/>
  <c r="F18" i="23"/>
  <c r="B11" i="23"/>
  <c r="B4" i="8"/>
  <c r="T2" i="8"/>
  <c r="Q2" i="8"/>
  <c r="N2" i="8"/>
  <c r="B43" i="28"/>
  <c r="R2" i="27"/>
  <c r="E2" i="7"/>
  <c r="F2" i="7"/>
  <c r="V2" i="27"/>
  <c r="B12" i="23"/>
  <c r="E18" i="23"/>
  <c r="B5" i="23"/>
  <c r="E2" i="25"/>
  <c r="Z2" i="26"/>
  <c r="V2" i="26"/>
  <c r="B30" i="28"/>
  <c r="D47" i="25"/>
  <c r="G2" i="24"/>
  <c r="H15" i="26"/>
  <c r="C20" i="28"/>
  <c r="B67" i="27"/>
  <c r="F2" i="25"/>
  <c r="C39" i="28"/>
  <c r="E2" i="28"/>
  <c r="B7" i="26"/>
  <c r="F2" i="28"/>
  <c r="H21" i="27"/>
  <c r="D39" i="28"/>
  <c r="B8" i="26"/>
  <c r="C9" i="28"/>
  <c r="F8" i="23"/>
  <c r="N2" i="26"/>
  <c r="C10" i="28"/>
  <c r="T21" i="27"/>
  <c r="B48" i="27"/>
  <c r="B49" i="27"/>
  <c r="T15" i="26"/>
  <c r="C21" i="28"/>
  <c r="C109" i="26"/>
  <c r="B109" i="26"/>
  <c r="B12" i="26"/>
  <c r="B115" i="26"/>
  <c r="B421" i="22"/>
  <c r="C421" i="22"/>
  <c r="D421" i="22"/>
  <c r="E421" i="22"/>
  <c r="F421" i="22"/>
  <c r="G421" i="22"/>
  <c r="H421" i="22"/>
  <c r="I421" i="22"/>
  <c r="J421" i="22"/>
  <c r="K421" i="22"/>
  <c r="L421" i="22"/>
  <c r="M421" i="22"/>
  <c r="N421" i="22"/>
  <c r="O421" i="22"/>
  <c r="P421" i="22"/>
  <c r="Q421" i="22"/>
  <c r="R421" i="22"/>
  <c r="S421" i="22"/>
  <c r="T421" i="22"/>
  <c r="U421" i="22"/>
  <c r="V421" i="22"/>
  <c r="W421" i="22"/>
  <c r="X421" i="22"/>
  <c r="Y421" i="22"/>
  <c r="Z421" i="22"/>
  <c r="AA421" i="22"/>
  <c r="AB421" i="22"/>
  <c r="AC421" i="22"/>
  <c r="AD421" i="22"/>
  <c r="AE421" i="22"/>
  <c r="AF421" i="22"/>
  <c r="AG421" i="22"/>
  <c r="AH421" i="22"/>
  <c r="AI421" i="22"/>
  <c r="AJ421" i="22"/>
  <c r="AK421" i="22"/>
  <c r="AL421" i="22"/>
  <c r="AM421" i="22"/>
  <c r="AN421" i="22"/>
  <c r="AO421" i="22"/>
  <c r="AP421" i="22"/>
  <c r="AQ421" i="22"/>
  <c r="AR421" i="22"/>
  <c r="AS421" i="22"/>
  <c r="AT421" i="22"/>
  <c r="AU421" i="22"/>
  <c r="AV421" i="22"/>
  <c r="AW421" i="22"/>
  <c r="AX421" i="22"/>
  <c r="AY421" i="22"/>
  <c r="AZ421" i="22"/>
  <c r="BA421" i="22"/>
  <c r="BB421" i="22"/>
  <c r="BC421" i="22"/>
  <c r="BD421" i="22"/>
  <c r="BE421" i="22"/>
  <c r="BF421" i="22"/>
  <c r="BG421" i="22"/>
  <c r="BH421" i="22"/>
  <c r="BI421" i="22"/>
  <c r="BJ421" i="22"/>
  <c r="BK421" i="22"/>
  <c r="BL421" i="22"/>
  <c r="BM421" i="22"/>
  <c r="BN421" i="22"/>
  <c r="BO421" i="22"/>
  <c r="BP421" i="22"/>
  <c r="BQ421" i="22"/>
  <c r="BR421" i="22"/>
  <c r="BS421" i="22"/>
  <c r="BT421" i="22"/>
  <c r="BU421" i="22"/>
  <c r="BV421" i="22"/>
  <c r="BW421" i="22"/>
  <c r="BX421" i="22"/>
  <c r="BY421" i="22"/>
  <c r="BZ421" i="22"/>
  <c r="CA421" i="22"/>
  <c r="CB421" i="22"/>
  <c r="A422" i="22"/>
  <c r="B422" i="22"/>
  <c r="C422" i="22"/>
  <c r="D422" i="22"/>
  <c r="E422" i="22"/>
  <c r="F422" i="22"/>
  <c r="G422" i="22"/>
  <c r="H422" i="22"/>
  <c r="I422" i="22"/>
  <c r="J422" i="22"/>
  <c r="K422" i="22"/>
  <c r="L422" i="22"/>
  <c r="M422" i="22"/>
  <c r="N422" i="22"/>
  <c r="O422" i="22"/>
  <c r="P422" i="22"/>
  <c r="Q422" i="22"/>
  <c r="R422" i="22"/>
  <c r="S422" i="22"/>
  <c r="T422" i="22"/>
  <c r="U422" i="22"/>
  <c r="V422" i="22"/>
  <c r="W422" i="22"/>
  <c r="X422" i="22"/>
  <c r="Y422" i="22"/>
  <c r="Z422" i="22"/>
  <c r="AA422" i="22"/>
  <c r="AB422" i="22"/>
  <c r="AC422" i="22"/>
  <c r="AD422" i="22"/>
  <c r="AE422" i="22"/>
  <c r="AF422" i="22"/>
  <c r="AG422" i="22"/>
  <c r="AH422" i="22"/>
  <c r="AI422" i="22"/>
  <c r="AJ422" i="22"/>
  <c r="AK422" i="22"/>
  <c r="AL422" i="22"/>
  <c r="AM422" i="22"/>
  <c r="AN422" i="22"/>
  <c r="AO422" i="22"/>
  <c r="AP422" i="22"/>
  <c r="AQ422" i="22"/>
  <c r="AR422" i="22"/>
  <c r="AS422" i="22"/>
  <c r="AT422" i="22"/>
  <c r="AU422" i="22"/>
  <c r="AV422" i="22"/>
  <c r="AW422" i="22"/>
  <c r="AX422" i="22"/>
  <c r="AY422" i="22"/>
  <c r="AZ422" i="22"/>
  <c r="BA422" i="22"/>
  <c r="BB422" i="22"/>
  <c r="BC422" i="22"/>
  <c r="BD422" i="22"/>
  <c r="BE422" i="22"/>
  <c r="BF422" i="22"/>
  <c r="BG422" i="22"/>
  <c r="BH422" i="22"/>
  <c r="BI422" i="22"/>
  <c r="BJ422" i="22"/>
  <c r="BK422" i="22"/>
  <c r="BL422" i="22"/>
  <c r="BM422" i="22"/>
  <c r="BN422" i="22"/>
  <c r="BO422" i="22"/>
  <c r="BP422" i="22"/>
  <c r="BQ422" i="22"/>
  <c r="BR422" i="22"/>
  <c r="BS422" i="22"/>
  <c r="BT422" i="22"/>
  <c r="BU422" i="22"/>
  <c r="BV422" i="22"/>
  <c r="BW422" i="22"/>
  <c r="BX422" i="22"/>
  <c r="BY422" i="22"/>
  <c r="BZ422" i="22"/>
  <c r="CA422" i="22"/>
  <c r="CB422" i="22"/>
  <c r="A423" i="22"/>
  <c r="B423" i="22"/>
  <c r="C423" i="22"/>
  <c r="D423" i="22"/>
  <c r="E423" i="22"/>
  <c r="F423" i="22"/>
  <c r="G423" i="22"/>
  <c r="H423" i="22"/>
  <c r="I423" i="22"/>
  <c r="J423" i="22"/>
  <c r="K423" i="22"/>
  <c r="L423" i="22"/>
  <c r="M423" i="22"/>
  <c r="N423" i="22"/>
  <c r="O423" i="22"/>
  <c r="P423" i="22"/>
  <c r="Q423" i="22"/>
  <c r="R423" i="22"/>
  <c r="S423" i="22"/>
  <c r="T423" i="22"/>
  <c r="U423" i="22"/>
  <c r="V423" i="22"/>
  <c r="W423" i="22"/>
  <c r="X423" i="22"/>
  <c r="Y423" i="22"/>
  <c r="Z423" i="22"/>
  <c r="AA423" i="22"/>
  <c r="AB423" i="22"/>
  <c r="AC423" i="22"/>
  <c r="AD423" i="22"/>
  <c r="AE423" i="22"/>
  <c r="AF423" i="22"/>
  <c r="AG423" i="22"/>
  <c r="AH423" i="22"/>
  <c r="AI423" i="22"/>
  <c r="AJ423" i="22"/>
  <c r="AK423" i="22"/>
  <c r="AL423" i="22"/>
  <c r="AM423" i="22"/>
  <c r="AN423" i="22"/>
  <c r="AO423" i="22"/>
  <c r="AP423" i="22"/>
  <c r="AQ423" i="22"/>
  <c r="AR423" i="22"/>
  <c r="AS423" i="22"/>
  <c r="AT423" i="22"/>
  <c r="AU423" i="22"/>
  <c r="AV423" i="22"/>
  <c r="AW423" i="22"/>
  <c r="AX423" i="22"/>
  <c r="AY423" i="22"/>
  <c r="AZ423" i="22"/>
  <c r="BA423" i="22"/>
  <c r="BB423" i="22"/>
  <c r="BC423" i="22"/>
  <c r="BD423" i="22"/>
  <c r="BE423" i="22"/>
  <c r="BF423" i="22"/>
  <c r="BG423" i="22"/>
  <c r="BH423" i="22"/>
  <c r="BI423" i="22"/>
  <c r="BJ423" i="22"/>
  <c r="BK423" i="22"/>
  <c r="BL423" i="22"/>
  <c r="BM423" i="22"/>
  <c r="BN423" i="22"/>
  <c r="BO423" i="22"/>
  <c r="BP423" i="22"/>
  <c r="BQ423" i="22"/>
  <c r="BR423" i="22"/>
  <c r="BS423" i="22"/>
  <c r="BT423" i="22"/>
  <c r="BU423" i="22"/>
  <c r="BV423" i="22"/>
  <c r="BW423" i="22"/>
  <c r="BX423" i="22"/>
  <c r="BY423" i="22"/>
  <c r="BZ423" i="22"/>
  <c r="CA423" i="22"/>
  <c r="CB423" i="22"/>
  <c r="A424" i="22"/>
  <c r="B424" i="22"/>
  <c r="C424" i="22"/>
  <c r="D424" i="22"/>
  <c r="E424" i="22"/>
  <c r="F424" i="22"/>
  <c r="G424" i="22"/>
  <c r="H424" i="22"/>
  <c r="I424" i="22"/>
  <c r="J424" i="22"/>
  <c r="K424" i="22"/>
  <c r="L424" i="22"/>
  <c r="M424" i="22"/>
  <c r="N424" i="22"/>
  <c r="O424" i="22"/>
  <c r="P424" i="22"/>
  <c r="Q424" i="22"/>
  <c r="R424" i="22"/>
  <c r="S424" i="22"/>
  <c r="T424" i="22"/>
  <c r="U424" i="22"/>
  <c r="V424" i="22"/>
  <c r="W424" i="22"/>
  <c r="X424" i="22"/>
  <c r="Y424" i="22"/>
  <c r="Z424" i="22"/>
  <c r="AA424" i="22"/>
  <c r="AB424" i="22"/>
  <c r="AC424" i="22"/>
  <c r="AD424" i="22"/>
  <c r="AE424" i="22"/>
  <c r="AF424" i="22"/>
  <c r="AG424" i="22"/>
  <c r="AH424" i="22"/>
  <c r="AI424" i="22"/>
  <c r="AJ424" i="22"/>
  <c r="AK424" i="22"/>
  <c r="AL424" i="22"/>
  <c r="AM424" i="22"/>
  <c r="AN424" i="22"/>
  <c r="AO424" i="22"/>
  <c r="AP424" i="22"/>
  <c r="AQ424" i="22"/>
  <c r="AR424" i="22"/>
  <c r="AS424" i="22"/>
  <c r="AT424" i="22"/>
  <c r="AU424" i="22"/>
  <c r="AV424" i="22"/>
  <c r="AW424" i="22"/>
  <c r="AX424" i="22"/>
  <c r="AY424" i="22"/>
  <c r="AZ424" i="22"/>
  <c r="BA424" i="22"/>
  <c r="BB424" i="22"/>
  <c r="BC424" i="22"/>
  <c r="BD424" i="22"/>
  <c r="BE424" i="22"/>
  <c r="BF424" i="22"/>
  <c r="BG424" i="22"/>
  <c r="BH424" i="22"/>
  <c r="BI424" i="22"/>
  <c r="BJ424" i="22"/>
  <c r="BK424" i="22"/>
  <c r="BL424" i="22"/>
  <c r="BM424" i="22"/>
  <c r="BN424" i="22"/>
  <c r="BO424" i="22"/>
  <c r="BP424" i="22"/>
  <c r="BQ424" i="22"/>
  <c r="BR424" i="22"/>
  <c r="BS424" i="22"/>
  <c r="BT424" i="22"/>
  <c r="BU424" i="22"/>
  <c r="BV424" i="22"/>
  <c r="BW424" i="22"/>
  <c r="BX424" i="22"/>
  <c r="BY424" i="22"/>
  <c r="BZ424" i="22"/>
  <c r="CA424" i="22"/>
  <c r="CB424" i="22"/>
  <c r="A425" i="22"/>
  <c r="B425" i="22"/>
  <c r="C425" i="22"/>
  <c r="D425" i="22"/>
  <c r="E425" i="22"/>
  <c r="F425" i="22"/>
  <c r="G425" i="22"/>
  <c r="H425" i="22"/>
  <c r="I425" i="22"/>
  <c r="J425" i="22"/>
  <c r="K425" i="22"/>
  <c r="L425" i="22"/>
  <c r="M425" i="22"/>
  <c r="N425" i="22"/>
  <c r="O425" i="22"/>
  <c r="P425" i="22"/>
  <c r="Q425" i="22"/>
  <c r="R425" i="22"/>
  <c r="S425" i="22"/>
  <c r="T425" i="22"/>
  <c r="U425" i="22"/>
  <c r="V425" i="22"/>
  <c r="W425" i="22"/>
  <c r="X425" i="22"/>
  <c r="Y425" i="22"/>
  <c r="Z425" i="22"/>
  <c r="AA425" i="22"/>
  <c r="AB425" i="22"/>
  <c r="AC425" i="22"/>
  <c r="AD425" i="22"/>
  <c r="AE425" i="22"/>
  <c r="AF425" i="22"/>
  <c r="AG425" i="22"/>
  <c r="AH425" i="22"/>
  <c r="AI425" i="22"/>
  <c r="AJ425" i="22"/>
  <c r="AK425" i="22"/>
  <c r="AL425" i="22"/>
  <c r="AM425" i="22"/>
  <c r="AN425" i="22"/>
  <c r="AO425" i="22"/>
  <c r="AP425" i="22"/>
  <c r="AQ425" i="22"/>
  <c r="AR425" i="22"/>
  <c r="AS425" i="22"/>
  <c r="AT425" i="22"/>
  <c r="AU425" i="22"/>
  <c r="AV425" i="22"/>
  <c r="AW425" i="22"/>
  <c r="AX425" i="22"/>
  <c r="AY425" i="22"/>
  <c r="AZ425" i="22"/>
  <c r="BA425" i="22"/>
  <c r="BB425" i="22"/>
  <c r="BC425" i="22"/>
  <c r="BD425" i="22"/>
  <c r="BE425" i="22"/>
  <c r="BF425" i="22"/>
  <c r="BG425" i="22"/>
  <c r="BH425" i="22"/>
  <c r="BI425" i="22"/>
  <c r="BJ425" i="22"/>
  <c r="BK425" i="22"/>
  <c r="BL425" i="22"/>
  <c r="BM425" i="22"/>
  <c r="BN425" i="22"/>
  <c r="BO425" i="22"/>
  <c r="BP425" i="22"/>
  <c r="BQ425" i="22"/>
  <c r="BR425" i="22"/>
  <c r="BS425" i="22"/>
  <c r="BT425" i="22"/>
  <c r="BU425" i="22"/>
  <c r="BV425" i="22"/>
  <c r="BW425" i="22"/>
  <c r="BX425" i="22"/>
  <c r="BY425" i="22"/>
  <c r="BZ425" i="22"/>
  <c r="CA425" i="22"/>
  <c r="CB425" i="22"/>
  <c r="A426" i="22"/>
  <c r="B426" i="22"/>
  <c r="C426" i="22"/>
  <c r="D426" i="22"/>
  <c r="E426" i="22"/>
  <c r="F426" i="22"/>
  <c r="G426" i="22"/>
  <c r="H426" i="22"/>
  <c r="I426" i="22"/>
  <c r="J426" i="22"/>
  <c r="K426" i="22"/>
  <c r="L426" i="22"/>
  <c r="M426" i="22"/>
  <c r="N426" i="22"/>
  <c r="O426" i="22"/>
  <c r="P426" i="22"/>
  <c r="Q426" i="22"/>
  <c r="R426" i="22"/>
  <c r="S426" i="22"/>
  <c r="T426" i="22"/>
  <c r="U426" i="22"/>
  <c r="V426" i="22"/>
  <c r="W426" i="22"/>
  <c r="X426" i="22"/>
  <c r="Y426" i="22"/>
  <c r="Z426" i="22"/>
  <c r="AA426" i="22"/>
  <c r="AB426" i="22"/>
  <c r="AC426" i="22"/>
  <c r="AD426" i="22"/>
  <c r="AE426" i="22"/>
  <c r="AF426" i="22"/>
  <c r="AG426" i="22"/>
  <c r="AH426" i="22"/>
  <c r="AI426" i="22"/>
  <c r="AJ426" i="22"/>
  <c r="AK426" i="22"/>
  <c r="AL426" i="22"/>
  <c r="AM426" i="22"/>
  <c r="AN426" i="22"/>
  <c r="AO426" i="22"/>
  <c r="AP426" i="22"/>
  <c r="AQ426" i="22"/>
  <c r="AR426" i="22"/>
  <c r="AS426" i="22"/>
  <c r="AT426" i="22"/>
  <c r="AU426" i="22"/>
  <c r="AV426" i="22"/>
  <c r="AW426" i="22"/>
  <c r="AX426" i="22"/>
  <c r="AY426" i="22"/>
  <c r="AZ426" i="22"/>
  <c r="BA426" i="22"/>
  <c r="BB426" i="22"/>
  <c r="BC426" i="22"/>
  <c r="BD426" i="22"/>
  <c r="BE426" i="22"/>
  <c r="BF426" i="22"/>
  <c r="BG426" i="22"/>
  <c r="BH426" i="22"/>
  <c r="BI426" i="22"/>
  <c r="BJ426" i="22"/>
  <c r="BK426" i="22"/>
  <c r="BL426" i="22"/>
  <c r="BM426" i="22"/>
  <c r="BN426" i="22"/>
  <c r="BO426" i="22"/>
  <c r="BP426" i="22"/>
  <c r="BQ426" i="22"/>
  <c r="BR426" i="22"/>
  <c r="BS426" i="22"/>
  <c r="BT426" i="22"/>
  <c r="BU426" i="22"/>
  <c r="BV426" i="22"/>
  <c r="BW426" i="22"/>
  <c r="BX426" i="22"/>
  <c r="BY426" i="22"/>
  <c r="BZ426" i="22"/>
  <c r="CA426" i="22"/>
  <c r="CB426" i="22"/>
  <c r="A427" i="22"/>
  <c r="B427" i="22"/>
  <c r="C427" i="22"/>
  <c r="D427" i="22"/>
  <c r="E427" i="22"/>
  <c r="F427" i="22"/>
  <c r="G427" i="22"/>
  <c r="H427" i="22"/>
  <c r="I427" i="22"/>
  <c r="J427" i="22"/>
  <c r="K427" i="22"/>
  <c r="L427" i="22"/>
  <c r="M427" i="22"/>
  <c r="N427" i="22"/>
  <c r="O427" i="22"/>
  <c r="P427" i="22"/>
  <c r="Q427" i="22"/>
  <c r="R427" i="22"/>
  <c r="S427" i="22"/>
  <c r="T427" i="22"/>
  <c r="U427" i="22"/>
  <c r="V427" i="22"/>
  <c r="W427" i="22"/>
  <c r="X427" i="22"/>
  <c r="Y427" i="22"/>
  <c r="Z427" i="22"/>
  <c r="AA427" i="22"/>
  <c r="AB427" i="22"/>
  <c r="AC427" i="22"/>
  <c r="AD427" i="22"/>
  <c r="AE427" i="22"/>
  <c r="AF427" i="22"/>
  <c r="AG427" i="22"/>
  <c r="AH427" i="22"/>
  <c r="AI427" i="22"/>
  <c r="AJ427" i="22"/>
  <c r="AK427" i="22"/>
  <c r="AL427" i="22"/>
  <c r="AM427" i="22"/>
  <c r="AN427" i="22"/>
  <c r="AO427" i="22"/>
  <c r="AP427" i="22"/>
  <c r="AQ427" i="22"/>
  <c r="AR427" i="22"/>
  <c r="AS427" i="22"/>
  <c r="AT427" i="22"/>
  <c r="AU427" i="22"/>
  <c r="AV427" i="22"/>
  <c r="AW427" i="22"/>
  <c r="AX427" i="22"/>
  <c r="AY427" i="22"/>
  <c r="AZ427" i="22"/>
  <c r="BA427" i="22"/>
  <c r="BB427" i="22"/>
  <c r="BC427" i="22"/>
  <c r="BD427" i="22"/>
  <c r="BE427" i="22"/>
  <c r="BF427" i="22"/>
  <c r="BG427" i="22"/>
  <c r="BH427" i="22"/>
  <c r="BI427" i="22"/>
  <c r="BJ427" i="22"/>
  <c r="BK427" i="22"/>
  <c r="BL427" i="22"/>
  <c r="BM427" i="22"/>
  <c r="BN427" i="22"/>
  <c r="BO427" i="22"/>
  <c r="BP427" i="22"/>
  <c r="BQ427" i="22"/>
  <c r="BR427" i="22"/>
  <c r="BS427" i="22"/>
  <c r="BT427" i="22"/>
  <c r="BU427" i="22"/>
  <c r="BV427" i="22"/>
  <c r="BW427" i="22"/>
  <c r="BX427" i="22"/>
  <c r="BY427" i="22"/>
  <c r="BZ427" i="22"/>
  <c r="CA427" i="22"/>
  <c r="CB427" i="22"/>
  <c r="A428" i="22"/>
  <c r="B428" i="22"/>
  <c r="C428" i="22"/>
  <c r="D428" i="22"/>
  <c r="E428" i="22"/>
  <c r="F428" i="22"/>
  <c r="G428" i="22"/>
  <c r="H428" i="22"/>
  <c r="I428" i="22"/>
  <c r="J428" i="22"/>
  <c r="K428" i="22"/>
  <c r="L428" i="22"/>
  <c r="M428" i="22"/>
  <c r="N428" i="22"/>
  <c r="O428" i="22"/>
  <c r="P428" i="22"/>
  <c r="Q428" i="22"/>
  <c r="R428" i="22"/>
  <c r="S428" i="22"/>
  <c r="T428" i="22"/>
  <c r="U428" i="22"/>
  <c r="V428" i="22"/>
  <c r="W428" i="22"/>
  <c r="X428" i="22"/>
  <c r="Y428" i="22"/>
  <c r="Z428" i="22"/>
  <c r="AA428" i="22"/>
  <c r="AB428" i="22"/>
  <c r="AC428" i="22"/>
  <c r="AD428" i="22"/>
  <c r="AE428" i="22"/>
  <c r="AF428" i="22"/>
  <c r="AG428" i="22"/>
  <c r="AH428" i="22"/>
  <c r="AI428" i="22"/>
  <c r="AJ428" i="22"/>
  <c r="AK428" i="22"/>
  <c r="AL428" i="22"/>
  <c r="AM428" i="22"/>
  <c r="AN428" i="22"/>
  <c r="AO428" i="22"/>
  <c r="AP428" i="22"/>
  <c r="AQ428" i="22"/>
  <c r="AR428" i="22"/>
  <c r="AS428" i="22"/>
  <c r="AT428" i="22"/>
  <c r="AU428" i="22"/>
  <c r="AV428" i="22"/>
  <c r="AW428" i="22"/>
  <c r="AX428" i="22"/>
  <c r="AY428" i="22"/>
  <c r="AZ428" i="22"/>
  <c r="BA428" i="22"/>
  <c r="BB428" i="22"/>
  <c r="BC428" i="22"/>
  <c r="BD428" i="22"/>
  <c r="BE428" i="22"/>
  <c r="BF428" i="22"/>
  <c r="BG428" i="22"/>
  <c r="BH428" i="22"/>
  <c r="BI428" i="22"/>
  <c r="BJ428" i="22"/>
  <c r="BK428" i="22"/>
  <c r="BL428" i="22"/>
  <c r="BM428" i="22"/>
  <c r="BN428" i="22"/>
  <c r="BO428" i="22"/>
  <c r="BP428" i="22"/>
  <c r="BQ428" i="22"/>
  <c r="BR428" i="22"/>
  <c r="BS428" i="22"/>
  <c r="BT428" i="22"/>
  <c r="BU428" i="22"/>
  <c r="BV428" i="22"/>
  <c r="BW428" i="22"/>
  <c r="BX428" i="22"/>
  <c r="BY428" i="22"/>
  <c r="BZ428" i="22"/>
  <c r="CA428" i="22"/>
  <c r="CB428" i="22"/>
  <c r="A429" i="22"/>
  <c r="B429" i="22"/>
  <c r="C429" i="22"/>
  <c r="D429" i="22"/>
  <c r="E429" i="22"/>
  <c r="F429" i="22"/>
  <c r="G429" i="22"/>
  <c r="H429" i="22"/>
  <c r="I429" i="22"/>
  <c r="J429" i="22"/>
  <c r="K429" i="22"/>
  <c r="L429" i="22"/>
  <c r="M429" i="22"/>
  <c r="N429" i="22"/>
  <c r="O429" i="22"/>
  <c r="P429" i="22"/>
  <c r="Q429" i="22"/>
  <c r="R429" i="22"/>
  <c r="S429" i="22"/>
  <c r="T429" i="22"/>
  <c r="U429" i="22"/>
  <c r="V429" i="22"/>
  <c r="W429" i="22"/>
  <c r="X429" i="22"/>
  <c r="Y429" i="22"/>
  <c r="Z429" i="22"/>
  <c r="AA429" i="22"/>
  <c r="AB429" i="22"/>
  <c r="AC429" i="22"/>
  <c r="AD429" i="22"/>
  <c r="AE429" i="22"/>
  <c r="AF429" i="22"/>
  <c r="AG429" i="22"/>
  <c r="AH429" i="22"/>
  <c r="AI429" i="22"/>
  <c r="AJ429" i="22"/>
  <c r="AK429" i="22"/>
  <c r="AL429" i="22"/>
  <c r="AM429" i="22"/>
  <c r="AN429" i="22"/>
  <c r="AO429" i="22"/>
  <c r="AP429" i="22"/>
  <c r="AQ429" i="22"/>
  <c r="AR429" i="22"/>
  <c r="AS429" i="22"/>
  <c r="AT429" i="22"/>
  <c r="AU429" i="22"/>
  <c r="AV429" i="22"/>
  <c r="AW429" i="22"/>
  <c r="AX429" i="22"/>
  <c r="AY429" i="22"/>
  <c r="AZ429" i="22"/>
  <c r="BA429" i="22"/>
  <c r="BB429" i="22"/>
  <c r="BC429" i="22"/>
  <c r="BD429" i="22"/>
  <c r="BE429" i="22"/>
  <c r="BF429" i="22"/>
  <c r="BG429" i="22"/>
  <c r="BH429" i="22"/>
  <c r="BI429" i="22"/>
  <c r="BJ429" i="22"/>
  <c r="BK429" i="22"/>
  <c r="BL429" i="22"/>
  <c r="BM429" i="22"/>
  <c r="BN429" i="22"/>
  <c r="BO429" i="22"/>
  <c r="BP429" i="22"/>
  <c r="BQ429" i="22"/>
  <c r="BR429" i="22"/>
  <c r="BS429" i="22"/>
  <c r="BT429" i="22"/>
  <c r="BU429" i="22"/>
  <c r="BV429" i="22"/>
  <c r="BW429" i="22"/>
  <c r="BX429" i="22"/>
  <c r="BY429" i="22"/>
  <c r="BZ429" i="22"/>
  <c r="CA429" i="22"/>
  <c r="CB429" i="22"/>
  <c r="A430" i="22"/>
  <c r="B430" i="22"/>
  <c r="C430" i="22"/>
  <c r="D430" i="22"/>
  <c r="E430" i="22"/>
  <c r="F430" i="22"/>
  <c r="G430" i="22"/>
  <c r="H430" i="22"/>
  <c r="I430" i="22"/>
  <c r="J430" i="22"/>
  <c r="K430" i="22"/>
  <c r="L430" i="22"/>
  <c r="M430" i="22"/>
  <c r="N430" i="22"/>
  <c r="O430" i="22"/>
  <c r="P430" i="22"/>
  <c r="Q430" i="22"/>
  <c r="R430" i="22"/>
  <c r="S430" i="22"/>
  <c r="T430" i="22"/>
  <c r="U430" i="22"/>
  <c r="V430" i="22"/>
  <c r="W430" i="22"/>
  <c r="X430" i="22"/>
  <c r="Y430" i="22"/>
  <c r="Z430" i="22"/>
  <c r="AA430" i="22"/>
  <c r="AB430" i="22"/>
  <c r="AC430" i="22"/>
  <c r="AD430" i="22"/>
  <c r="AE430" i="22"/>
  <c r="AF430" i="22"/>
  <c r="AG430" i="22"/>
  <c r="AH430" i="22"/>
  <c r="AI430" i="22"/>
  <c r="AJ430" i="22"/>
  <c r="AK430" i="22"/>
  <c r="AL430" i="22"/>
  <c r="AM430" i="22"/>
  <c r="AN430" i="22"/>
  <c r="AO430" i="22"/>
  <c r="AP430" i="22"/>
  <c r="AQ430" i="22"/>
  <c r="AR430" i="22"/>
  <c r="AS430" i="22"/>
  <c r="AT430" i="22"/>
  <c r="AU430" i="22"/>
  <c r="AV430" i="22"/>
  <c r="AW430" i="22"/>
  <c r="AX430" i="22"/>
  <c r="AY430" i="22"/>
  <c r="AZ430" i="22"/>
  <c r="BA430" i="22"/>
  <c r="BB430" i="22"/>
  <c r="BC430" i="22"/>
  <c r="BD430" i="22"/>
  <c r="BE430" i="22"/>
  <c r="BF430" i="22"/>
  <c r="BG430" i="22"/>
  <c r="BH430" i="22"/>
  <c r="BI430" i="22"/>
  <c r="BJ430" i="22"/>
  <c r="BK430" i="22"/>
  <c r="BL430" i="22"/>
  <c r="BM430" i="22"/>
  <c r="BN430" i="22"/>
  <c r="BO430" i="22"/>
  <c r="BP430" i="22"/>
  <c r="BQ430" i="22"/>
  <c r="BR430" i="22"/>
  <c r="BS430" i="22"/>
  <c r="BT430" i="22"/>
  <c r="BU430" i="22"/>
  <c r="BV430" i="22"/>
  <c r="BW430" i="22"/>
  <c r="BX430" i="22"/>
  <c r="BY430" i="22"/>
  <c r="BZ430" i="22"/>
  <c r="CA430" i="22"/>
  <c r="CB430" i="22"/>
  <c r="A431" i="22"/>
  <c r="B431" i="22"/>
  <c r="C431" i="22"/>
  <c r="D431" i="22"/>
  <c r="E431" i="22"/>
  <c r="F431" i="22"/>
  <c r="G431" i="22"/>
  <c r="H431" i="22"/>
  <c r="I431" i="22"/>
  <c r="J431" i="22"/>
  <c r="K431" i="22"/>
  <c r="L431" i="22"/>
  <c r="M431" i="22"/>
  <c r="N431" i="22"/>
  <c r="O431" i="22"/>
  <c r="P431" i="22"/>
  <c r="Q431" i="22"/>
  <c r="R431" i="22"/>
  <c r="S431" i="22"/>
  <c r="T431" i="22"/>
  <c r="U431" i="22"/>
  <c r="V431" i="22"/>
  <c r="W431" i="22"/>
  <c r="X431" i="22"/>
  <c r="Y431" i="22"/>
  <c r="Z431" i="22"/>
  <c r="AA431" i="22"/>
  <c r="AB431" i="22"/>
  <c r="AC431" i="22"/>
  <c r="AD431" i="22"/>
  <c r="AE431" i="22"/>
  <c r="AF431" i="22"/>
  <c r="AG431" i="22"/>
  <c r="AH431" i="22"/>
  <c r="AI431" i="22"/>
  <c r="AJ431" i="22"/>
  <c r="AK431" i="22"/>
  <c r="AL431" i="22"/>
  <c r="AM431" i="22"/>
  <c r="AN431" i="22"/>
  <c r="AO431" i="22"/>
  <c r="AP431" i="22"/>
  <c r="AQ431" i="22"/>
  <c r="AR431" i="22"/>
  <c r="AS431" i="22"/>
  <c r="AT431" i="22"/>
  <c r="AU431" i="22"/>
  <c r="AV431" i="22"/>
  <c r="AW431" i="22"/>
  <c r="AX431" i="22"/>
  <c r="AY431" i="22"/>
  <c r="AZ431" i="22"/>
  <c r="BA431" i="22"/>
  <c r="BB431" i="22"/>
  <c r="BC431" i="22"/>
  <c r="BD431" i="22"/>
  <c r="BE431" i="22"/>
  <c r="BF431" i="22"/>
  <c r="BG431" i="22"/>
  <c r="BH431" i="22"/>
  <c r="BI431" i="22"/>
  <c r="BJ431" i="22"/>
  <c r="BK431" i="22"/>
  <c r="BL431" i="22"/>
  <c r="BM431" i="22"/>
  <c r="BN431" i="22"/>
  <c r="BO431" i="22"/>
  <c r="BP431" i="22"/>
  <c r="BQ431" i="22"/>
  <c r="BR431" i="22"/>
  <c r="BS431" i="22"/>
  <c r="BT431" i="22"/>
  <c r="BU431" i="22"/>
  <c r="BV431" i="22"/>
  <c r="BW431" i="22"/>
  <c r="BX431" i="22"/>
  <c r="BY431" i="22"/>
  <c r="BZ431" i="22"/>
  <c r="CA431" i="22"/>
  <c r="CB431" i="22"/>
  <c r="A432" i="22"/>
  <c r="B432" i="22"/>
  <c r="C432" i="22"/>
  <c r="D432" i="22"/>
  <c r="E432" i="22"/>
  <c r="F432" i="22"/>
  <c r="G432" i="22"/>
  <c r="H432" i="22"/>
  <c r="I432" i="22"/>
  <c r="J432" i="22"/>
  <c r="K432" i="22"/>
  <c r="L432" i="22"/>
  <c r="M432" i="22"/>
  <c r="N432" i="22"/>
  <c r="O432" i="22"/>
  <c r="P432" i="22"/>
  <c r="Q432" i="22"/>
  <c r="R432" i="22"/>
  <c r="S432" i="22"/>
  <c r="T432" i="22"/>
  <c r="U432" i="22"/>
  <c r="V432" i="22"/>
  <c r="W432" i="22"/>
  <c r="X432" i="22"/>
  <c r="Y432" i="22"/>
  <c r="Z432" i="22"/>
  <c r="AA432" i="22"/>
  <c r="AB432" i="22"/>
  <c r="AC432" i="22"/>
  <c r="AD432" i="22"/>
  <c r="AE432" i="22"/>
  <c r="AF432" i="22"/>
  <c r="AG432" i="22"/>
  <c r="AH432" i="22"/>
  <c r="AI432" i="22"/>
  <c r="AJ432" i="22"/>
  <c r="AK432" i="22"/>
  <c r="AL432" i="22"/>
  <c r="AM432" i="22"/>
  <c r="AN432" i="22"/>
  <c r="AO432" i="22"/>
  <c r="AP432" i="22"/>
  <c r="AQ432" i="22"/>
  <c r="AR432" i="22"/>
  <c r="AS432" i="22"/>
  <c r="AT432" i="22"/>
  <c r="AU432" i="22"/>
  <c r="AV432" i="22"/>
  <c r="AW432" i="22"/>
  <c r="AX432" i="22"/>
  <c r="AY432" i="22"/>
  <c r="AZ432" i="22"/>
  <c r="BA432" i="22"/>
  <c r="BB432" i="22"/>
  <c r="BC432" i="22"/>
  <c r="BD432" i="22"/>
  <c r="BE432" i="22"/>
  <c r="BF432" i="22"/>
  <c r="BG432" i="22"/>
  <c r="BH432" i="22"/>
  <c r="BI432" i="22"/>
  <c r="BJ432" i="22"/>
  <c r="BK432" i="22"/>
  <c r="BL432" i="22"/>
  <c r="BM432" i="22"/>
  <c r="BN432" i="22"/>
  <c r="BO432" i="22"/>
  <c r="BP432" i="22"/>
  <c r="BQ432" i="22"/>
  <c r="BR432" i="22"/>
  <c r="BS432" i="22"/>
  <c r="BT432" i="22"/>
  <c r="BU432" i="22"/>
  <c r="BV432" i="22"/>
  <c r="BW432" i="22"/>
  <c r="BX432" i="22"/>
  <c r="BY432" i="22"/>
  <c r="BZ432" i="22"/>
  <c r="CA432" i="22"/>
  <c r="CB432" i="22"/>
  <c r="A433" i="22"/>
  <c r="B433" i="22"/>
  <c r="C433" i="22"/>
  <c r="D433" i="22"/>
  <c r="E433" i="22"/>
  <c r="F433" i="22"/>
  <c r="G433" i="22"/>
  <c r="H433" i="22"/>
  <c r="I433" i="22"/>
  <c r="J433" i="22"/>
  <c r="K433" i="22"/>
  <c r="L433" i="22"/>
  <c r="M433" i="22"/>
  <c r="N433" i="22"/>
  <c r="O433" i="22"/>
  <c r="P433" i="22"/>
  <c r="Q433" i="22"/>
  <c r="R433" i="22"/>
  <c r="S433" i="22"/>
  <c r="T433" i="22"/>
  <c r="U433" i="22"/>
  <c r="V433" i="22"/>
  <c r="W433" i="22"/>
  <c r="X433" i="22"/>
  <c r="Y433" i="22"/>
  <c r="Z433" i="22"/>
  <c r="AA433" i="22"/>
  <c r="AB433" i="22"/>
  <c r="AC433" i="22"/>
  <c r="AD433" i="22"/>
  <c r="AE433" i="22"/>
  <c r="AF433" i="22"/>
  <c r="AG433" i="22"/>
  <c r="AH433" i="22"/>
  <c r="AI433" i="22"/>
  <c r="AJ433" i="22"/>
  <c r="AK433" i="22"/>
  <c r="AL433" i="22"/>
  <c r="AM433" i="22"/>
  <c r="AN433" i="22"/>
  <c r="AO433" i="22"/>
  <c r="AP433" i="22"/>
  <c r="AQ433" i="22"/>
  <c r="AR433" i="22"/>
  <c r="AS433" i="22"/>
  <c r="AT433" i="22"/>
  <c r="AU433" i="22"/>
  <c r="AV433" i="22"/>
  <c r="AW433" i="22"/>
  <c r="AX433" i="22"/>
  <c r="AY433" i="22"/>
  <c r="AZ433" i="22"/>
  <c r="BA433" i="22"/>
  <c r="BB433" i="22"/>
  <c r="BC433" i="22"/>
  <c r="BD433" i="22"/>
  <c r="BE433" i="22"/>
  <c r="BF433" i="22"/>
  <c r="BG433" i="22"/>
  <c r="BH433" i="22"/>
  <c r="BI433" i="22"/>
  <c r="BJ433" i="22"/>
  <c r="BK433" i="22"/>
  <c r="BL433" i="22"/>
  <c r="BM433" i="22"/>
  <c r="BN433" i="22"/>
  <c r="BO433" i="22"/>
  <c r="BP433" i="22"/>
  <c r="BQ433" i="22"/>
  <c r="BR433" i="22"/>
  <c r="BS433" i="22"/>
  <c r="BT433" i="22"/>
  <c r="BU433" i="22"/>
  <c r="BV433" i="22"/>
  <c r="BW433" i="22"/>
  <c r="BX433" i="22"/>
  <c r="BY433" i="22"/>
  <c r="BZ433" i="22"/>
  <c r="CA433" i="22"/>
  <c r="CB433" i="22"/>
  <c r="A434" i="22"/>
  <c r="B434" i="22"/>
  <c r="C434" i="22"/>
  <c r="D434" i="22"/>
  <c r="E434" i="22"/>
  <c r="F434" i="22"/>
  <c r="G434" i="22"/>
  <c r="H434" i="22"/>
  <c r="I434" i="22"/>
  <c r="J434" i="22"/>
  <c r="K434" i="22"/>
  <c r="L434" i="22"/>
  <c r="M434" i="22"/>
  <c r="N434" i="22"/>
  <c r="O434" i="22"/>
  <c r="P434" i="22"/>
  <c r="Q434" i="22"/>
  <c r="R434" i="22"/>
  <c r="S434" i="22"/>
  <c r="T434" i="22"/>
  <c r="U434" i="22"/>
  <c r="V434" i="22"/>
  <c r="W434" i="22"/>
  <c r="X434" i="22"/>
  <c r="Y434" i="22"/>
  <c r="Z434" i="22"/>
  <c r="AA434" i="22"/>
  <c r="AB434" i="22"/>
  <c r="AC434" i="22"/>
  <c r="AD434" i="22"/>
  <c r="AE434" i="22"/>
  <c r="AF434" i="22"/>
  <c r="AG434" i="22"/>
  <c r="AH434" i="22"/>
  <c r="AI434" i="22"/>
  <c r="AJ434" i="22"/>
  <c r="AK434" i="22"/>
  <c r="AL434" i="22"/>
  <c r="AM434" i="22"/>
  <c r="AN434" i="22"/>
  <c r="AO434" i="22"/>
  <c r="AP434" i="22"/>
  <c r="AQ434" i="22"/>
  <c r="AR434" i="22"/>
  <c r="AS434" i="22"/>
  <c r="AT434" i="22"/>
  <c r="AU434" i="22"/>
  <c r="AV434" i="22"/>
  <c r="AW434" i="22"/>
  <c r="AX434" i="22"/>
  <c r="AY434" i="22"/>
  <c r="AZ434" i="22"/>
  <c r="BA434" i="22"/>
  <c r="BB434" i="22"/>
  <c r="BC434" i="22"/>
  <c r="BD434" i="22"/>
  <c r="BE434" i="22"/>
  <c r="BF434" i="22"/>
  <c r="BG434" i="22"/>
  <c r="BH434" i="22"/>
  <c r="BI434" i="22"/>
  <c r="BJ434" i="22"/>
  <c r="BK434" i="22"/>
  <c r="BL434" i="22"/>
  <c r="BM434" i="22"/>
  <c r="BN434" i="22"/>
  <c r="BO434" i="22"/>
  <c r="BP434" i="22"/>
  <c r="BQ434" i="22"/>
  <c r="BR434" i="22"/>
  <c r="BS434" i="22"/>
  <c r="BT434" i="22"/>
  <c r="BU434" i="22"/>
  <c r="BV434" i="22"/>
  <c r="BW434" i="22"/>
  <c r="BX434" i="22"/>
  <c r="BY434" i="22"/>
  <c r="BZ434" i="22"/>
  <c r="CA434" i="22"/>
  <c r="CB434" i="22"/>
  <c r="A435" i="22"/>
  <c r="B435" i="22"/>
  <c r="C435" i="22"/>
  <c r="D435" i="22"/>
  <c r="E435" i="22"/>
  <c r="F435" i="22"/>
  <c r="G435" i="22"/>
  <c r="H435" i="22"/>
  <c r="I435" i="22"/>
  <c r="J435" i="22"/>
  <c r="K435" i="22"/>
  <c r="L435" i="22"/>
  <c r="M435" i="22"/>
  <c r="N435" i="22"/>
  <c r="O435" i="22"/>
  <c r="P435" i="22"/>
  <c r="Q435" i="22"/>
  <c r="R435" i="22"/>
  <c r="S435" i="22"/>
  <c r="T435" i="22"/>
  <c r="U435" i="22"/>
  <c r="V435" i="22"/>
  <c r="W435" i="22"/>
  <c r="X435" i="22"/>
  <c r="Y435" i="22"/>
  <c r="Z435" i="22"/>
  <c r="AA435" i="22"/>
  <c r="AB435" i="22"/>
  <c r="AC435" i="22"/>
  <c r="AD435" i="22"/>
  <c r="AE435" i="22"/>
  <c r="AF435" i="22"/>
  <c r="AG435" i="22"/>
  <c r="AH435" i="22"/>
  <c r="AI435" i="22"/>
  <c r="AJ435" i="22"/>
  <c r="AK435" i="22"/>
  <c r="AL435" i="22"/>
  <c r="AM435" i="22"/>
  <c r="AN435" i="22"/>
  <c r="AO435" i="22"/>
  <c r="AP435" i="22"/>
  <c r="AQ435" i="22"/>
  <c r="AR435" i="22"/>
  <c r="AS435" i="22"/>
  <c r="AT435" i="22"/>
  <c r="AU435" i="22"/>
  <c r="AV435" i="22"/>
  <c r="AW435" i="22"/>
  <c r="AX435" i="22"/>
  <c r="AY435" i="22"/>
  <c r="AZ435" i="22"/>
  <c r="BA435" i="22"/>
  <c r="BB435" i="22"/>
  <c r="BC435" i="22"/>
  <c r="BD435" i="22"/>
  <c r="BE435" i="22"/>
  <c r="BF435" i="22"/>
  <c r="BG435" i="22"/>
  <c r="BH435" i="22"/>
  <c r="BI435" i="22"/>
  <c r="BJ435" i="22"/>
  <c r="BK435" i="22"/>
  <c r="BL435" i="22"/>
  <c r="BM435" i="22"/>
  <c r="BN435" i="22"/>
  <c r="BO435" i="22"/>
  <c r="BP435" i="22"/>
  <c r="BQ435" i="22"/>
  <c r="BR435" i="22"/>
  <c r="BS435" i="22"/>
  <c r="BT435" i="22"/>
  <c r="BU435" i="22"/>
  <c r="BV435" i="22"/>
  <c r="BW435" i="22"/>
  <c r="BX435" i="22"/>
  <c r="BY435" i="22"/>
  <c r="BZ435" i="22"/>
  <c r="CA435" i="22"/>
  <c r="CB435" i="22"/>
  <c r="A436" i="22"/>
  <c r="B436" i="22"/>
  <c r="C436" i="22"/>
  <c r="D436" i="22"/>
  <c r="E436" i="22"/>
  <c r="F436" i="22"/>
  <c r="G436" i="22"/>
  <c r="H436" i="22"/>
  <c r="I436" i="22"/>
  <c r="J436" i="22"/>
  <c r="K436" i="22"/>
  <c r="L436" i="22"/>
  <c r="M436" i="22"/>
  <c r="N436" i="22"/>
  <c r="O436" i="22"/>
  <c r="P436" i="22"/>
  <c r="Q436" i="22"/>
  <c r="R436" i="22"/>
  <c r="S436" i="22"/>
  <c r="T436" i="22"/>
  <c r="U436" i="22"/>
  <c r="V436" i="22"/>
  <c r="W436" i="22"/>
  <c r="X436" i="22"/>
  <c r="Y436" i="22"/>
  <c r="Z436" i="22"/>
  <c r="AA436" i="22"/>
  <c r="AB436" i="22"/>
  <c r="AC436" i="22"/>
  <c r="AD436" i="22"/>
  <c r="AE436" i="22"/>
  <c r="AF436" i="22"/>
  <c r="AG436" i="22"/>
  <c r="AH436" i="22"/>
  <c r="AI436" i="22"/>
  <c r="AJ436" i="22"/>
  <c r="AK436" i="22"/>
  <c r="AL436" i="22"/>
  <c r="AM436" i="22"/>
  <c r="AN436" i="22"/>
  <c r="AO436" i="22"/>
  <c r="AP436" i="22"/>
  <c r="AQ436" i="22"/>
  <c r="AR436" i="22"/>
  <c r="AS436" i="22"/>
  <c r="AT436" i="22"/>
  <c r="AU436" i="22"/>
  <c r="AV436" i="22"/>
  <c r="AW436" i="22"/>
  <c r="AX436" i="22"/>
  <c r="AY436" i="22"/>
  <c r="AZ436" i="22"/>
  <c r="BA436" i="22"/>
  <c r="BB436" i="22"/>
  <c r="BC436" i="22"/>
  <c r="BD436" i="22"/>
  <c r="BE436" i="22"/>
  <c r="BF436" i="22"/>
  <c r="BG436" i="22"/>
  <c r="BH436" i="22"/>
  <c r="BI436" i="22"/>
  <c r="BJ436" i="22"/>
  <c r="BK436" i="22"/>
  <c r="BL436" i="22"/>
  <c r="BM436" i="22"/>
  <c r="BN436" i="22"/>
  <c r="BO436" i="22"/>
  <c r="BP436" i="22"/>
  <c r="BQ436" i="22"/>
  <c r="BR436" i="22"/>
  <c r="BS436" i="22"/>
  <c r="BT436" i="22"/>
  <c r="BU436" i="22"/>
  <c r="BV436" i="22"/>
  <c r="BW436" i="22"/>
  <c r="BX436" i="22"/>
  <c r="BY436" i="22"/>
  <c r="BZ436" i="22"/>
  <c r="CA436" i="22"/>
  <c r="CB436" i="22"/>
  <c r="A437" i="22"/>
  <c r="B437" i="22"/>
  <c r="C437" i="22"/>
  <c r="D437" i="22"/>
  <c r="E437" i="22"/>
  <c r="F437" i="22"/>
  <c r="G437" i="22"/>
  <c r="H437" i="22"/>
  <c r="I437" i="22"/>
  <c r="J437" i="22"/>
  <c r="K437" i="22"/>
  <c r="L437" i="22"/>
  <c r="M437" i="22"/>
  <c r="N437" i="22"/>
  <c r="O437" i="22"/>
  <c r="P437" i="22"/>
  <c r="Q437" i="22"/>
  <c r="R437" i="22"/>
  <c r="S437" i="22"/>
  <c r="T437" i="22"/>
  <c r="U437" i="22"/>
  <c r="V437" i="22"/>
  <c r="W437" i="22"/>
  <c r="X437" i="22"/>
  <c r="Y437" i="22"/>
  <c r="Z437" i="22"/>
  <c r="AA437" i="22"/>
  <c r="AB437" i="22"/>
  <c r="AC437" i="22"/>
  <c r="AD437" i="22"/>
  <c r="AE437" i="22"/>
  <c r="AF437" i="22"/>
  <c r="AG437" i="22"/>
  <c r="AH437" i="22"/>
  <c r="AI437" i="22"/>
  <c r="AJ437" i="22"/>
  <c r="AK437" i="22"/>
  <c r="AL437" i="22"/>
  <c r="AM437" i="22"/>
  <c r="AN437" i="22"/>
  <c r="AO437" i="22"/>
  <c r="AP437" i="22"/>
  <c r="AQ437" i="22"/>
  <c r="AR437" i="22"/>
  <c r="AS437" i="22"/>
  <c r="AT437" i="22"/>
  <c r="AU437" i="22"/>
  <c r="AV437" i="22"/>
  <c r="AW437" i="22"/>
  <c r="AX437" i="22"/>
  <c r="AY437" i="22"/>
  <c r="AZ437" i="22"/>
  <c r="BA437" i="22"/>
  <c r="BB437" i="22"/>
  <c r="BC437" i="22"/>
  <c r="BD437" i="22"/>
  <c r="BE437" i="22"/>
  <c r="BF437" i="22"/>
  <c r="BG437" i="22"/>
  <c r="BH437" i="22"/>
  <c r="BI437" i="22"/>
  <c r="BJ437" i="22"/>
  <c r="BK437" i="22"/>
  <c r="BL437" i="22"/>
  <c r="BM437" i="22"/>
  <c r="BN437" i="22"/>
  <c r="BO437" i="22"/>
  <c r="BP437" i="22"/>
  <c r="BQ437" i="22"/>
  <c r="BR437" i="22"/>
  <c r="BS437" i="22"/>
  <c r="BT437" i="22"/>
  <c r="BU437" i="22"/>
  <c r="BV437" i="22"/>
  <c r="BW437" i="22"/>
  <c r="BX437" i="22"/>
  <c r="BY437" i="22"/>
  <c r="BZ437" i="22"/>
  <c r="CA437" i="22"/>
  <c r="CB437" i="22"/>
  <c r="A438" i="22"/>
  <c r="B438" i="22"/>
  <c r="C438" i="22"/>
  <c r="D438" i="22"/>
  <c r="E438" i="22"/>
  <c r="F438" i="22"/>
  <c r="G438" i="22"/>
  <c r="H438" i="22"/>
  <c r="I438" i="22"/>
  <c r="J438" i="22"/>
  <c r="K438" i="22"/>
  <c r="L438" i="22"/>
  <c r="M438" i="22"/>
  <c r="N438" i="22"/>
  <c r="O438" i="22"/>
  <c r="P438" i="22"/>
  <c r="Q438" i="22"/>
  <c r="R438" i="22"/>
  <c r="S438" i="22"/>
  <c r="T438" i="22"/>
  <c r="U438" i="22"/>
  <c r="V438" i="22"/>
  <c r="W438" i="22"/>
  <c r="X438" i="22"/>
  <c r="Y438" i="22"/>
  <c r="Z438" i="22"/>
  <c r="AA438" i="22"/>
  <c r="AB438" i="22"/>
  <c r="AC438" i="22"/>
  <c r="AD438" i="22"/>
  <c r="AE438" i="22"/>
  <c r="AF438" i="22"/>
  <c r="AG438" i="22"/>
  <c r="AH438" i="22"/>
  <c r="AI438" i="22"/>
  <c r="AJ438" i="22"/>
  <c r="AK438" i="22"/>
  <c r="AL438" i="22"/>
  <c r="AM438" i="22"/>
  <c r="AN438" i="22"/>
  <c r="AO438" i="22"/>
  <c r="AP438" i="22"/>
  <c r="AQ438" i="22"/>
  <c r="AR438" i="22"/>
  <c r="AS438" i="22"/>
  <c r="AT438" i="22"/>
  <c r="AU438" i="22"/>
  <c r="AV438" i="22"/>
  <c r="AW438" i="22"/>
  <c r="AX438" i="22"/>
  <c r="AY438" i="22"/>
  <c r="AZ438" i="22"/>
  <c r="BA438" i="22"/>
  <c r="BB438" i="22"/>
  <c r="BC438" i="22"/>
  <c r="BD438" i="22"/>
  <c r="BE438" i="22"/>
  <c r="BF438" i="22"/>
  <c r="BG438" i="22"/>
  <c r="BH438" i="22"/>
  <c r="BI438" i="22"/>
  <c r="BJ438" i="22"/>
  <c r="BK438" i="22"/>
  <c r="BL438" i="22"/>
  <c r="BM438" i="22"/>
  <c r="BN438" i="22"/>
  <c r="BO438" i="22"/>
  <c r="BP438" i="22"/>
  <c r="BQ438" i="22"/>
  <c r="BR438" i="22"/>
  <c r="BS438" i="22"/>
  <c r="BT438" i="22"/>
  <c r="BU438" i="22"/>
  <c r="BV438" i="22"/>
  <c r="BW438" i="22"/>
  <c r="BX438" i="22"/>
  <c r="BY438" i="22"/>
  <c r="BZ438" i="22"/>
  <c r="CA438" i="22"/>
  <c r="CB438" i="22"/>
  <c r="A439" i="22"/>
  <c r="B439" i="22"/>
  <c r="C439" i="22"/>
  <c r="D439" i="22"/>
  <c r="E439" i="22"/>
  <c r="F439" i="22"/>
  <c r="G439" i="22"/>
  <c r="H439" i="22"/>
  <c r="I439" i="22"/>
  <c r="J439" i="22"/>
  <c r="K439" i="22"/>
  <c r="L439" i="22"/>
  <c r="M439" i="22"/>
  <c r="N439" i="22"/>
  <c r="O439" i="22"/>
  <c r="P439" i="22"/>
  <c r="Q439" i="22"/>
  <c r="R439" i="22"/>
  <c r="S439" i="22"/>
  <c r="T439" i="22"/>
  <c r="U439" i="22"/>
  <c r="V439" i="22"/>
  <c r="W439" i="22"/>
  <c r="X439" i="22"/>
  <c r="Y439" i="22"/>
  <c r="Z439" i="22"/>
  <c r="AA439" i="22"/>
  <c r="AB439" i="22"/>
  <c r="AC439" i="22"/>
  <c r="AD439" i="22"/>
  <c r="AE439" i="22"/>
  <c r="AF439" i="22"/>
  <c r="AG439" i="22"/>
  <c r="AH439" i="22"/>
  <c r="AI439" i="22"/>
  <c r="AJ439" i="22"/>
  <c r="AK439" i="22"/>
  <c r="AL439" i="22"/>
  <c r="AM439" i="22"/>
  <c r="AN439" i="22"/>
  <c r="AO439" i="22"/>
  <c r="AP439" i="22"/>
  <c r="AQ439" i="22"/>
  <c r="AR439" i="22"/>
  <c r="AS439" i="22"/>
  <c r="AT439" i="22"/>
  <c r="AU439" i="22"/>
  <c r="AV439" i="22"/>
  <c r="AW439" i="22"/>
  <c r="AX439" i="22"/>
  <c r="AY439" i="22"/>
  <c r="AZ439" i="22"/>
  <c r="BA439" i="22"/>
  <c r="BB439" i="22"/>
  <c r="BC439" i="22"/>
  <c r="BD439" i="22"/>
  <c r="BE439" i="22"/>
  <c r="BF439" i="22"/>
  <c r="BG439" i="22"/>
  <c r="BH439" i="22"/>
  <c r="BI439" i="22"/>
  <c r="BJ439" i="22"/>
  <c r="BK439" i="22"/>
  <c r="BL439" i="22"/>
  <c r="BM439" i="22"/>
  <c r="BN439" i="22"/>
  <c r="BO439" i="22"/>
  <c r="BP439" i="22"/>
  <c r="BQ439" i="22"/>
  <c r="BR439" i="22"/>
  <c r="BS439" i="22"/>
  <c r="BT439" i="22"/>
  <c r="BU439" i="22"/>
  <c r="BV439" i="22"/>
  <c r="BW439" i="22"/>
  <c r="BX439" i="22"/>
  <c r="BY439" i="22"/>
  <c r="BZ439" i="22"/>
  <c r="CA439" i="22"/>
  <c r="CB439" i="22"/>
  <c r="A440" i="22"/>
  <c r="B440" i="22"/>
  <c r="C440" i="22"/>
  <c r="D440" i="22"/>
  <c r="E440" i="22"/>
  <c r="F440" i="22"/>
  <c r="G440" i="22"/>
  <c r="H440" i="22"/>
  <c r="I440" i="22"/>
  <c r="J440" i="22"/>
  <c r="K440" i="22"/>
  <c r="L440" i="22"/>
  <c r="M440" i="22"/>
  <c r="N440" i="22"/>
  <c r="O440" i="22"/>
  <c r="P440" i="22"/>
  <c r="Q440" i="22"/>
  <c r="R440" i="22"/>
  <c r="S440" i="22"/>
  <c r="T440" i="22"/>
  <c r="U440" i="22"/>
  <c r="V440" i="22"/>
  <c r="W440" i="22"/>
  <c r="X440" i="22"/>
  <c r="Y440" i="22"/>
  <c r="Z440" i="22"/>
  <c r="AA440" i="22"/>
  <c r="AB440" i="22"/>
  <c r="AC440" i="22"/>
  <c r="AD440" i="22"/>
  <c r="AE440" i="22"/>
  <c r="AF440" i="22"/>
  <c r="AG440" i="22"/>
  <c r="AH440" i="22"/>
  <c r="AI440" i="22"/>
  <c r="AJ440" i="22"/>
  <c r="AK440" i="22"/>
  <c r="AL440" i="22"/>
  <c r="AM440" i="22"/>
  <c r="AN440" i="22"/>
  <c r="AO440" i="22"/>
  <c r="AP440" i="22"/>
  <c r="AQ440" i="22"/>
  <c r="AR440" i="22"/>
  <c r="AS440" i="22"/>
  <c r="AT440" i="22"/>
  <c r="AU440" i="22"/>
  <c r="AV440" i="22"/>
  <c r="AW440" i="22"/>
  <c r="AX440" i="22"/>
  <c r="AY440" i="22"/>
  <c r="AZ440" i="22"/>
  <c r="BA440" i="22"/>
  <c r="BB440" i="22"/>
  <c r="BC440" i="22"/>
  <c r="BD440" i="22"/>
  <c r="BE440" i="22"/>
  <c r="BF440" i="22"/>
  <c r="BG440" i="22"/>
  <c r="BH440" i="22"/>
  <c r="BI440" i="22"/>
  <c r="BJ440" i="22"/>
  <c r="BK440" i="22"/>
  <c r="BL440" i="22"/>
  <c r="BM440" i="22"/>
  <c r="BN440" i="22"/>
  <c r="BO440" i="22"/>
  <c r="BP440" i="22"/>
  <c r="BQ440" i="22"/>
  <c r="BR440" i="22"/>
  <c r="BS440" i="22"/>
  <c r="BT440" i="22"/>
  <c r="BU440" i="22"/>
  <c r="BV440" i="22"/>
  <c r="BW440" i="22"/>
  <c r="BX440" i="22"/>
  <c r="BY440" i="22"/>
  <c r="BZ440" i="22"/>
  <c r="CA440" i="22"/>
  <c r="CB440" i="22"/>
  <c r="A441" i="22"/>
  <c r="B441" i="22"/>
  <c r="C441" i="22"/>
  <c r="D441" i="22"/>
  <c r="E441" i="22"/>
  <c r="F441" i="22"/>
  <c r="G441" i="22"/>
  <c r="H441" i="22"/>
  <c r="I441" i="22"/>
  <c r="J441" i="22"/>
  <c r="K441" i="22"/>
  <c r="L441" i="22"/>
  <c r="M441" i="22"/>
  <c r="N441" i="22"/>
  <c r="O441" i="22"/>
  <c r="P441" i="22"/>
  <c r="Q441" i="22"/>
  <c r="R441" i="22"/>
  <c r="S441" i="22"/>
  <c r="T441" i="22"/>
  <c r="U441" i="22"/>
  <c r="V441" i="22"/>
  <c r="W441" i="22"/>
  <c r="X441" i="22"/>
  <c r="Y441" i="22"/>
  <c r="Z441" i="22"/>
  <c r="AA441" i="22"/>
  <c r="AB441" i="22"/>
  <c r="AC441" i="22"/>
  <c r="AD441" i="22"/>
  <c r="AE441" i="22"/>
  <c r="AF441" i="22"/>
  <c r="AG441" i="22"/>
  <c r="AH441" i="22"/>
  <c r="AI441" i="22"/>
  <c r="AJ441" i="22"/>
  <c r="AK441" i="22"/>
  <c r="AL441" i="22"/>
  <c r="AM441" i="22"/>
  <c r="AN441" i="22"/>
  <c r="AO441" i="22"/>
  <c r="AP441" i="22"/>
  <c r="AQ441" i="22"/>
  <c r="AR441" i="22"/>
  <c r="AS441" i="22"/>
  <c r="AT441" i="22"/>
  <c r="AU441" i="22"/>
  <c r="AV441" i="22"/>
  <c r="AW441" i="22"/>
  <c r="AX441" i="22"/>
  <c r="AY441" i="22"/>
  <c r="AZ441" i="22"/>
  <c r="BA441" i="22"/>
  <c r="BB441" i="22"/>
  <c r="BC441" i="22"/>
  <c r="BD441" i="22"/>
  <c r="BE441" i="22"/>
  <c r="BF441" i="22"/>
  <c r="BG441" i="22"/>
  <c r="BH441" i="22"/>
  <c r="BI441" i="22"/>
  <c r="BJ441" i="22"/>
  <c r="BK441" i="22"/>
  <c r="BL441" i="22"/>
  <c r="BM441" i="22"/>
  <c r="BN441" i="22"/>
  <c r="BO441" i="22"/>
  <c r="BP441" i="22"/>
  <c r="BQ441" i="22"/>
  <c r="BR441" i="22"/>
  <c r="BS441" i="22"/>
  <c r="BT441" i="22"/>
  <c r="BU441" i="22"/>
  <c r="BV441" i="22"/>
  <c r="BW441" i="22"/>
  <c r="BX441" i="22"/>
  <c r="BY441" i="22"/>
  <c r="BZ441" i="22"/>
  <c r="CA441" i="22"/>
  <c r="CB441" i="22"/>
  <c r="A442" i="22"/>
  <c r="B442" i="22"/>
  <c r="C442" i="22"/>
  <c r="D442" i="22"/>
  <c r="E442" i="22"/>
  <c r="F442" i="22"/>
  <c r="G442" i="22"/>
  <c r="H442" i="22"/>
  <c r="I442" i="22"/>
  <c r="J442" i="22"/>
  <c r="K442" i="22"/>
  <c r="L442" i="22"/>
  <c r="M442" i="22"/>
  <c r="N442" i="22"/>
  <c r="O442" i="22"/>
  <c r="P442" i="22"/>
  <c r="Q442" i="22"/>
  <c r="R442" i="22"/>
  <c r="S442" i="22"/>
  <c r="T442" i="22"/>
  <c r="U442" i="22"/>
  <c r="V442" i="22"/>
  <c r="W442" i="22"/>
  <c r="X442" i="22"/>
  <c r="Y442" i="22"/>
  <c r="Z442" i="22"/>
  <c r="AA442" i="22"/>
  <c r="AB442" i="22"/>
  <c r="AC442" i="22"/>
  <c r="AD442" i="22"/>
  <c r="AE442" i="22"/>
  <c r="AF442" i="22"/>
  <c r="AG442" i="22"/>
  <c r="AH442" i="22"/>
  <c r="AI442" i="22"/>
  <c r="AJ442" i="22"/>
  <c r="AK442" i="22"/>
  <c r="AL442" i="22"/>
  <c r="AM442" i="22"/>
  <c r="AN442" i="22"/>
  <c r="AO442" i="22"/>
  <c r="AP442" i="22"/>
  <c r="AQ442" i="22"/>
  <c r="AR442" i="22"/>
  <c r="AS442" i="22"/>
  <c r="AT442" i="22"/>
  <c r="AU442" i="22"/>
  <c r="AV442" i="22"/>
  <c r="AW442" i="22"/>
  <c r="AX442" i="22"/>
  <c r="AY442" i="22"/>
  <c r="AZ442" i="22"/>
  <c r="BA442" i="22"/>
  <c r="BB442" i="22"/>
  <c r="BC442" i="22"/>
  <c r="BD442" i="22"/>
  <c r="BE442" i="22"/>
  <c r="BF442" i="22"/>
  <c r="BG442" i="22"/>
  <c r="BH442" i="22"/>
  <c r="BI442" i="22"/>
  <c r="BJ442" i="22"/>
  <c r="BK442" i="22"/>
  <c r="BL442" i="22"/>
  <c r="BM442" i="22"/>
  <c r="BN442" i="22"/>
  <c r="BO442" i="22"/>
  <c r="BP442" i="22"/>
  <c r="BQ442" i="22"/>
  <c r="BR442" i="22"/>
  <c r="BS442" i="22"/>
  <c r="BT442" i="22"/>
  <c r="BU442" i="22"/>
  <c r="BV442" i="22"/>
  <c r="BW442" i="22"/>
  <c r="BX442" i="22"/>
  <c r="BY442" i="22"/>
  <c r="BZ442" i="22"/>
  <c r="CA442" i="22"/>
  <c r="CB442" i="22"/>
  <c r="A443" i="22"/>
  <c r="B443" i="22"/>
  <c r="C443" i="22"/>
  <c r="D443" i="22"/>
  <c r="E443" i="22"/>
  <c r="F443" i="22"/>
  <c r="G443" i="22"/>
  <c r="H443" i="22"/>
  <c r="I443" i="22"/>
  <c r="J443" i="22"/>
  <c r="K443" i="22"/>
  <c r="L443" i="22"/>
  <c r="M443" i="22"/>
  <c r="N443" i="22"/>
  <c r="O443" i="22"/>
  <c r="P443" i="22"/>
  <c r="Q443" i="22"/>
  <c r="R443" i="22"/>
  <c r="S443" i="22"/>
  <c r="T443" i="22"/>
  <c r="U443" i="22"/>
  <c r="V443" i="22"/>
  <c r="W443" i="22"/>
  <c r="X443" i="22"/>
  <c r="Y443" i="22"/>
  <c r="Z443" i="22"/>
  <c r="AA443" i="22"/>
  <c r="AB443" i="22"/>
  <c r="AC443" i="22"/>
  <c r="AD443" i="22"/>
  <c r="AE443" i="22"/>
  <c r="AF443" i="22"/>
  <c r="AG443" i="22"/>
  <c r="AH443" i="22"/>
  <c r="AI443" i="22"/>
  <c r="AJ443" i="22"/>
  <c r="AK443" i="22"/>
  <c r="AL443" i="22"/>
  <c r="AM443" i="22"/>
  <c r="AN443" i="22"/>
  <c r="AO443" i="22"/>
  <c r="AP443" i="22"/>
  <c r="AQ443" i="22"/>
  <c r="AR443" i="22"/>
  <c r="AS443" i="22"/>
  <c r="AT443" i="22"/>
  <c r="AU443" i="22"/>
  <c r="AV443" i="22"/>
  <c r="AW443" i="22"/>
  <c r="AX443" i="22"/>
  <c r="AY443" i="22"/>
  <c r="AZ443" i="22"/>
  <c r="BA443" i="22"/>
  <c r="BB443" i="22"/>
  <c r="BC443" i="22"/>
  <c r="BD443" i="22"/>
  <c r="BE443" i="22"/>
  <c r="BF443" i="22"/>
  <c r="BG443" i="22"/>
  <c r="BH443" i="22"/>
  <c r="BI443" i="22"/>
  <c r="BJ443" i="22"/>
  <c r="BK443" i="22"/>
  <c r="BL443" i="22"/>
  <c r="BM443" i="22"/>
  <c r="BN443" i="22"/>
  <c r="BO443" i="22"/>
  <c r="BP443" i="22"/>
  <c r="BQ443" i="22"/>
  <c r="BR443" i="22"/>
  <c r="BS443" i="22"/>
  <c r="BT443" i="22"/>
  <c r="BU443" i="22"/>
  <c r="BV443" i="22"/>
  <c r="BW443" i="22"/>
  <c r="BX443" i="22"/>
  <c r="BY443" i="22"/>
  <c r="BZ443" i="22"/>
  <c r="CA443" i="22"/>
  <c r="CB443" i="22"/>
  <c r="A444" i="22"/>
  <c r="B444" i="22"/>
  <c r="C444" i="22"/>
  <c r="D444" i="22"/>
  <c r="E444" i="22"/>
  <c r="F444" i="22"/>
  <c r="G444" i="22"/>
  <c r="H444" i="22"/>
  <c r="I444" i="22"/>
  <c r="J444" i="22"/>
  <c r="K444" i="22"/>
  <c r="L444" i="22"/>
  <c r="M444" i="22"/>
  <c r="N444" i="22"/>
  <c r="O444" i="22"/>
  <c r="P444" i="22"/>
  <c r="Q444" i="22"/>
  <c r="R444" i="22"/>
  <c r="S444" i="22"/>
  <c r="T444" i="22"/>
  <c r="U444" i="22"/>
  <c r="V444" i="22"/>
  <c r="W444" i="22"/>
  <c r="X444" i="22"/>
  <c r="Y444" i="22"/>
  <c r="Z444" i="22"/>
  <c r="AA444" i="22"/>
  <c r="AB444" i="22"/>
  <c r="AC444" i="22"/>
  <c r="AD444" i="22"/>
  <c r="AE444" i="22"/>
  <c r="AF444" i="22"/>
  <c r="AG444" i="22"/>
  <c r="AH444" i="22"/>
  <c r="AI444" i="22"/>
  <c r="AJ444" i="22"/>
  <c r="AK444" i="22"/>
  <c r="AL444" i="22"/>
  <c r="AM444" i="22"/>
  <c r="AN444" i="22"/>
  <c r="AO444" i="22"/>
  <c r="AP444" i="22"/>
  <c r="AQ444" i="22"/>
  <c r="AR444" i="22"/>
  <c r="AS444" i="22"/>
  <c r="AT444" i="22"/>
  <c r="AU444" i="22"/>
  <c r="AV444" i="22"/>
  <c r="AW444" i="22"/>
  <c r="AX444" i="22"/>
  <c r="AY444" i="22"/>
  <c r="AZ444" i="22"/>
  <c r="BA444" i="22"/>
  <c r="BB444" i="22"/>
  <c r="BC444" i="22"/>
  <c r="BD444" i="22"/>
  <c r="BE444" i="22"/>
  <c r="BF444" i="22"/>
  <c r="BG444" i="22"/>
  <c r="BH444" i="22"/>
  <c r="BI444" i="22"/>
  <c r="BJ444" i="22"/>
  <c r="BK444" i="22"/>
  <c r="BL444" i="22"/>
  <c r="BM444" i="22"/>
  <c r="BN444" i="22"/>
  <c r="BO444" i="22"/>
  <c r="BP444" i="22"/>
  <c r="BQ444" i="22"/>
  <c r="BR444" i="22"/>
  <c r="BS444" i="22"/>
  <c r="BT444" i="22"/>
  <c r="BU444" i="22"/>
  <c r="BV444" i="22"/>
  <c r="BW444" i="22"/>
  <c r="BX444" i="22"/>
  <c r="BY444" i="22"/>
  <c r="BZ444" i="22"/>
  <c r="CA444" i="22"/>
  <c r="CB444" i="22"/>
  <c r="A445" i="22"/>
  <c r="B445" i="22"/>
  <c r="C445" i="22"/>
  <c r="D445" i="22"/>
  <c r="E445" i="22"/>
  <c r="F445" i="22"/>
  <c r="G445" i="22"/>
  <c r="H445" i="22"/>
  <c r="I445" i="22"/>
  <c r="J445" i="22"/>
  <c r="K445" i="22"/>
  <c r="L445" i="22"/>
  <c r="M445" i="22"/>
  <c r="N445" i="22"/>
  <c r="O445" i="22"/>
  <c r="P445" i="22"/>
  <c r="Q445" i="22"/>
  <c r="R445" i="22"/>
  <c r="S445" i="22"/>
  <c r="T445" i="22"/>
  <c r="U445" i="22"/>
  <c r="V445" i="22"/>
  <c r="W445" i="22"/>
  <c r="X445" i="22"/>
  <c r="Y445" i="22"/>
  <c r="Z445" i="22"/>
  <c r="AA445" i="22"/>
  <c r="AB445" i="22"/>
  <c r="AC445" i="22"/>
  <c r="AD445" i="22"/>
  <c r="AE445" i="22"/>
  <c r="AF445" i="22"/>
  <c r="AG445" i="22"/>
  <c r="AH445" i="22"/>
  <c r="AI445" i="22"/>
  <c r="AJ445" i="22"/>
  <c r="AK445" i="22"/>
  <c r="AL445" i="22"/>
  <c r="AM445" i="22"/>
  <c r="AN445" i="22"/>
  <c r="AO445" i="22"/>
  <c r="AP445" i="22"/>
  <c r="AQ445" i="22"/>
  <c r="AR445" i="22"/>
  <c r="AS445" i="22"/>
  <c r="AT445" i="22"/>
  <c r="AU445" i="22"/>
  <c r="AV445" i="22"/>
  <c r="AW445" i="22"/>
  <c r="AX445" i="22"/>
  <c r="AY445" i="22"/>
  <c r="AZ445" i="22"/>
  <c r="BA445" i="22"/>
  <c r="BB445" i="22"/>
  <c r="BC445" i="22"/>
  <c r="BD445" i="22"/>
  <c r="BE445" i="22"/>
  <c r="BF445" i="22"/>
  <c r="BG445" i="22"/>
  <c r="BH445" i="22"/>
  <c r="BI445" i="22"/>
  <c r="BJ445" i="22"/>
  <c r="BK445" i="22"/>
  <c r="BL445" i="22"/>
  <c r="BM445" i="22"/>
  <c r="BN445" i="22"/>
  <c r="BO445" i="22"/>
  <c r="BP445" i="22"/>
  <c r="BQ445" i="22"/>
  <c r="BR445" i="22"/>
  <c r="BS445" i="22"/>
  <c r="BT445" i="22"/>
  <c r="BU445" i="22"/>
  <c r="BV445" i="22"/>
  <c r="BW445" i="22"/>
  <c r="BX445" i="22"/>
  <c r="BY445" i="22"/>
  <c r="BZ445" i="22"/>
  <c r="CA445" i="22"/>
  <c r="CB445" i="22"/>
  <c r="A446" i="22"/>
  <c r="B446" i="22"/>
  <c r="C446" i="22"/>
  <c r="D446" i="22"/>
  <c r="E446" i="22"/>
  <c r="F446" i="22"/>
  <c r="G446" i="22"/>
  <c r="H446" i="22"/>
  <c r="I446" i="22"/>
  <c r="J446" i="22"/>
  <c r="K446" i="22"/>
  <c r="L446" i="22"/>
  <c r="M446" i="22"/>
  <c r="N446" i="22"/>
  <c r="O446" i="22"/>
  <c r="P446" i="22"/>
  <c r="Q446" i="22"/>
  <c r="R446" i="22"/>
  <c r="S446" i="22"/>
  <c r="T446" i="22"/>
  <c r="U446" i="22"/>
  <c r="V446" i="22"/>
  <c r="W446" i="22"/>
  <c r="X446" i="22"/>
  <c r="Y446" i="22"/>
  <c r="Z446" i="22"/>
  <c r="AA446" i="22"/>
  <c r="AB446" i="22"/>
  <c r="AC446" i="22"/>
  <c r="AD446" i="22"/>
  <c r="AE446" i="22"/>
  <c r="AF446" i="22"/>
  <c r="AG446" i="22"/>
  <c r="AH446" i="22"/>
  <c r="AI446" i="22"/>
  <c r="AJ446" i="22"/>
  <c r="AK446" i="22"/>
  <c r="AL446" i="22"/>
  <c r="AM446" i="22"/>
  <c r="AN446" i="22"/>
  <c r="AO446" i="22"/>
  <c r="AP446" i="22"/>
  <c r="AQ446" i="22"/>
  <c r="AR446" i="22"/>
  <c r="AS446" i="22"/>
  <c r="AT446" i="22"/>
  <c r="AU446" i="22"/>
  <c r="AV446" i="22"/>
  <c r="AW446" i="22"/>
  <c r="AX446" i="22"/>
  <c r="AY446" i="22"/>
  <c r="AZ446" i="22"/>
  <c r="BA446" i="22"/>
  <c r="BB446" i="22"/>
  <c r="BC446" i="22"/>
  <c r="BD446" i="22"/>
  <c r="BE446" i="22"/>
  <c r="BF446" i="22"/>
  <c r="BG446" i="22"/>
  <c r="BH446" i="22"/>
  <c r="BI446" i="22"/>
  <c r="BJ446" i="22"/>
  <c r="BK446" i="22"/>
  <c r="BL446" i="22"/>
  <c r="BM446" i="22"/>
  <c r="BN446" i="22"/>
  <c r="BO446" i="22"/>
  <c r="BP446" i="22"/>
  <c r="BQ446" i="22"/>
  <c r="BR446" i="22"/>
  <c r="BS446" i="22"/>
  <c r="BT446" i="22"/>
  <c r="BU446" i="22"/>
  <c r="BV446" i="22"/>
  <c r="BW446" i="22"/>
  <c r="BX446" i="22"/>
  <c r="BY446" i="22"/>
  <c r="BZ446" i="22"/>
  <c r="CA446" i="22"/>
  <c r="CB446" i="22"/>
  <c r="A447" i="22"/>
  <c r="B447" i="22"/>
  <c r="C447" i="22"/>
  <c r="D447" i="22"/>
  <c r="E447" i="22"/>
  <c r="F447" i="22"/>
  <c r="G447" i="22"/>
  <c r="H447" i="22"/>
  <c r="I447" i="22"/>
  <c r="J447" i="22"/>
  <c r="K447" i="22"/>
  <c r="L447" i="22"/>
  <c r="M447" i="22"/>
  <c r="N447" i="22"/>
  <c r="O447" i="22"/>
  <c r="P447" i="22"/>
  <c r="Q447" i="22"/>
  <c r="R447" i="22"/>
  <c r="S447" i="22"/>
  <c r="T447" i="22"/>
  <c r="U447" i="22"/>
  <c r="V447" i="22"/>
  <c r="W447" i="22"/>
  <c r="X447" i="22"/>
  <c r="Y447" i="22"/>
  <c r="Z447" i="22"/>
  <c r="AA447" i="22"/>
  <c r="AB447" i="22"/>
  <c r="AC447" i="22"/>
  <c r="AD447" i="22"/>
  <c r="AE447" i="22"/>
  <c r="AF447" i="22"/>
  <c r="AG447" i="22"/>
  <c r="AH447" i="22"/>
  <c r="AI447" i="22"/>
  <c r="AJ447" i="22"/>
  <c r="AK447" i="22"/>
  <c r="AL447" i="22"/>
  <c r="AM447" i="22"/>
  <c r="AN447" i="22"/>
  <c r="AO447" i="22"/>
  <c r="AP447" i="22"/>
  <c r="AQ447" i="22"/>
  <c r="AR447" i="22"/>
  <c r="AS447" i="22"/>
  <c r="AT447" i="22"/>
  <c r="AU447" i="22"/>
  <c r="AV447" i="22"/>
  <c r="AW447" i="22"/>
  <c r="AX447" i="22"/>
  <c r="AY447" i="22"/>
  <c r="AZ447" i="22"/>
  <c r="BA447" i="22"/>
  <c r="BB447" i="22"/>
  <c r="BC447" i="22"/>
  <c r="BD447" i="22"/>
  <c r="BE447" i="22"/>
  <c r="BF447" i="22"/>
  <c r="BG447" i="22"/>
  <c r="BH447" i="22"/>
  <c r="BI447" i="22"/>
  <c r="BJ447" i="22"/>
  <c r="BK447" i="22"/>
  <c r="BL447" i="22"/>
  <c r="BM447" i="22"/>
  <c r="BN447" i="22"/>
  <c r="BO447" i="22"/>
  <c r="BP447" i="22"/>
  <c r="BQ447" i="22"/>
  <c r="BR447" i="22"/>
  <c r="BS447" i="22"/>
  <c r="BT447" i="22"/>
  <c r="BU447" i="22"/>
  <c r="BV447" i="22"/>
  <c r="BW447" i="22"/>
  <c r="BX447" i="22"/>
  <c r="BY447" i="22"/>
  <c r="BZ447" i="22"/>
  <c r="CA447" i="22"/>
  <c r="CB447" i="22"/>
  <c r="A448" i="22"/>
  <c r="B448" i="22"/>
  <c r="C448" i="22"/>
  <c r="D448" i="22"/>
  <c r="E448" i="22"/>
  <c r="F448" i="22"/>
  <c r="G448" i="22"/>
  <c r="H448" i="22"/>
  <c r="I448" i="22"/>
  <c r="J448" i="22"/>
  <c r="K448" i="22"/>
  <c r="L448" i="22"/>
  <c r="M448" i="22"/>
  <c r="N448" i="22"/>
  <c r="O448" i="22"/>
  <c r="P448" i="22"/>
  <c r="Q448" i="22"/>
  <c r="R448" i="22"/>
  <c r="S448" i="22"/>
  <c r="T448" i="22"/>
  <c r="U448" i="22"/>
  <c r="V448" i="22"/>
  <c r="W448" i="22"/>
  <c r="X448" i="22"/>
  <c r="Y448" i="22"/>
  <c r="Z448" i="22"/>
  <c r="AA448" i="22"/>
  <c r="AB448" i="22"/>
  <c r="AC448" i="22"/>
  <c r="AD448" i="22"/>
  <c r="AE448" i="22"/>
  <c r="AF448" i="22"/>
  <c r="AG448" i="22"/>
  <c r="AH448" i="22"/>
  <c r="AI448" i="22"/>
  <c r="AJ448" i="22"/>
  <c r="AK448" i="22"/>
  <c r="AL448" i="22"/>
  <c r="AM448" i="22"/>
  <c r="AN448" i="22"/>
  <c r="AO448" i="22"/>
  <c r="AP448" i="22"/>
  <c r="AQ448" i="22"/>
  <c r="AR448" i="22"/>
  <c r="AS448" i="22"/>
  <c r="AT448" i="22"/>
  <c r="AU448" i="22"/>
  <c r="AV448" i="22"/>
  <c r="AW448" i="22"/>
  <c r="AX448" i="22"/>
  <c r="AY448" i="22"/>
  <c r="AZ448" i="22"/>
  <c r="BA448" i="22"/>
  <c r="BB448" i="22"/>
  <c r="BC448" i="22"/>
  <c r="BD448" i="22"/>
  <c r="BE448" i="22"/>
  <c r="BF448" i="22"/>
  <c r="BG448" i="22"/>
  <c r="BH448" i="22"/>
  <c r="BI448" i="22"/>
  <c r="BJ448" i="22"/>
  <c r="BK448" i="22"/>
  <c r="BL448" i="22"/>
  <c r="BM448" i="22"/>
  <c r="BN448" i="22"/>
  <c r="BO448" i="22"/>
  <c r="BP448" i="22"/>
  <c r="BQ448" i="22"/>
  <c r="BR448" i="22"/>
  <c r="BS448" i="22"/>
  <c r="BT448" i="22"/>
  <c r="BU448" i="22"/>
  <c r="BV448" i="22"/>
  <c r="BW448" i="22"/>
  <c r="BX448" i="22"/>
  <c r="BY448" i="22"/>
  <c r="BZ448" i="22"/>
  <c r="CA448" i="22"/>
  <c r="CB448" i="22"/>
  <c r="A449" i="22"/>
  <c r="B449" i="22"/>
  <c r="C449" i="22"/>
  <c r="D449" i="22"/>
  <c r="E449" i="22"/>
  <c r="F449" i="22"/>
  <c r="G449" i="22"/>
  <c r="H449" i="22"/>
  <c r="I449" i="22"/>
  <c r="J449" i="22"/>
  <c r="K449" i="22"/>
  <c r="L449" i="22"/>
  <c r="M449" i="22"/>
  <c r="N449" i="22"/>
  <c r="O449" i="22"/>
  <c r="P449" i="22"/>
  <c r="Q449" i="22"/>
  <c r="R449" i="22"/>
  <c r="S449" i="22"/>
  <c r="T449" i="22"/>
  <c r="U449" i="22"/>
  <c r="V449" i="22"/>
  <c r="W449" i="22"/>
  <c r="X449" i="22"/>
  <c r="Y449" i="22"/>
  <c r="Z449" i="22"/>
  <c r="AA449" i="22"/>
  <c r="AB449" i="22"/>
  <c r="AC449" i="22"/>
  <c r="AD449" i="22"/>
  <c r="AE449" i="22"/>
  <c r="AF449" i="22"/>
  <c r="AG449" i="22"/>
  <c r="AH449" i="22"/>
  <c r="AI449" i="22"/>
  <c r="AJ449" i="22"/>
  <c r="AK449" i="22"/>
  <c r="AL449" i="22"/>
  <c r="AM449" i="22"/>
  <c r="AN449" i="22"/>
  <c r="AO449" i="22"/>
  <c r="AP449" i="22"/>
  <c r="AQ449" i="22"/>
  <c r="AR449" i="22"/>
  <c r="AS449" i="22"/>
  <c r="AT449" i="22"/>
  <c r="AU449" i="22"/>
  <c r="AV449" i="22"/>
  <c r="AW449" i="22"/>
  <c r="AX449" i="22"/>
  <c r="AY449" i="22"/>
  <c r="AZ449" i="22"/>
  <c r="BA449" i="22"/>
  <c r="BB449" i="22"/>
  <c r="BC449" i="22"/>
  <c r="BD449" i="22"/>
  <c r="BE449" i="22"/>
  <c r="BF449" i="22"/>
  <c r="BG449" i="22"/>
  <c r="BH449" i="22"/>
  <c r="BI449" i="22"/>
  <c r="BJ449" i="22"/>
  <c r="BK449" i="22"/>
  <c r="BL449" i="22"/>
  <c r="BM449" i="22"/>
  <c r="BN449" i="22"/>
  <c r="BO449" i="22"/>
  <c r="BP449" i="22"/>
  <c r="BQ449" i="22"/>
  <c r="BR449" i="22"/>
  <c r="BS449" i="22"/>
  <c r="BT449" i="22"/>
  <c r="BU449" i="22"/>
  <c r="BV449" i="22"/>
  <c r="BW449" i="22"/>
  <c r="BX449" i="22"/>
  <c r="BY449" i="22"/>
  <c r="BZ449" i="22"/>
  <c r="CA449" i="22"/>
  <c r="CB449" i="22"/>
  <c r="A450" i="22"/>
  <c r="B450" i="22"/>
  <c r="C450" i="22"/>
  <c r="D450" i="22"/>
  <c r="E450" i="22"/>
  <c r="F450" i="22"/>
  <c r="G450" i="22"/>
  <c r="H450" i="22"/>
  <c r="I450" i="22"/>
  <c r="J450" i="22"/>
  <c r="K450" i="22"/>
  <c r="L450" i="22"/>
  <c r="M450" i="22"/>
  <c r="N450" i="22"/>
  <c r="O450" i="22"/>
  <c r="P450" i="22"/>
  <c r="Q450" i="22"/>
  <c r="R450" i="22"/>
  <c r="S450" i="22"/>
  <c r="T450" i="22"/>
  <c r="U450" i="22"/>
  <c r="V450" i="22"/>
  <c r="W450" i="22"/>
  <c r="X450" i="22"/>
  <c r="Y450" i="22"/>
  <c r="Z450" i="22"/>
  <c r="AA450" i="22"/>
  <c r="AB450" i="22"/>
  <c r="AC450" i="22"/>
  <c r="AD450" i="22"/>
  <c r="AE450" i="22"/>
  <c r="AF450" i="22"/>
  <c r="AG450" i="22"/>
  <c r="AH450" i="22"/>
  <c r="AI450" i="22"/>
  <c r="AJ450" i="22"/>
  <c r="AK450" i="22"/>
  <c r="AL450" i="22"/>
  <c r="AM450" i="22"/>
  <c r="AN450" i="22"/>
  <c r="AO450" i="22"/>
  <c r="AP450" i="22"/>
  <c r="AQ450" i="22"/>
  <c r="AR450" i="22"/>
  <c r="AS450" i="22"/>
  <c r="AT450" i="22"/>
  <c r="AU450" i="22"/>
  <c r="AV450" i="22"/>
  <c r="AW450" i="22"/>
  <c r="AX450" i="22"/>
  <c r="AY450" i="22"/>
  <c r="AZ450" i="22"/>
  <c r="BA450" i="22"/>
  <c r="BB450" i="22"/>
  <c r="BC450" i="22"/>
  <c r="BD450" i="22"/>
  <c r="BE450" i="22"/>
  <c r="BF450" i="22"/>
  <c r="BG450" i="22"/>
  <c r="BH450" i="22"/>
  <c r="BI450" i="22"/>
  <c r="BJ450" i="22"/>
  <c r="BK450" i="22"/>
  <c r="BL450" i="22"/>
  <c r="BM450" i="22"/>
  <c r="BN450" i="22"/>
  <c r="BO450" i="22"/>
  <c r="BP450" i="22"/>
  <c r="BQ450" i="22"/>
  <c r="BR450" i="22"/>
  <c r="BS450" i="22"/>
  <c r="BT450" i="22"/>
  <c r="BU450" i="22"/>
  <c r="BV450" i="22"/>
  <c r="BW450" i="22"/>
  <c r="BX450" i="22"/>
  <c r="BY450" i="22"/>
  <c r="BZ450" i="22"/>
  <c r="CA450" i="22"/>
  <c r="CB450" i="22"/>
  <c r="A451" i="22"/>
  <c r="B451" i="22"/>
  <c r="C451" i="22"/>
  <c r="D451" i="22"/>
  <c r="E451" i="22"/>
  <c r="F451" i="22"/>
  <c r="G451" i="22"/>
  <c r="H451" i="22"/>
  <c r="I451" i="22"/>
  <c r="J451" i="22"/>
  <c r="K451" i="22"/>
  <c r="L451" i="22"/>
  <c r="M451" i="22"/>
  <c r="N451" i="22"/>
  <c r="O451" i="22"/>
  <c r="P451" i="22"/>
  <c r="Q451" i="22"/>
  <c r="R451" i="22"/>
  <c r="S451" i="22"/>
  <c r="T451" i="22"/>
  <c r="U451" i="22"/>
  <c r="V451" i="22"/>
  <c r="W451" i="22"/>
  <c r="X451" i="22"/>
  <c r="Y451" i="22"/>
  <c r="Z451" i="22"/>
  <c r="AA451" i="22"/>
  <c r="AB451" i="22"/>
  <c r="AC451" i="22"/>
  <c r="AD451" i="22"/>
  <c r="AE451" i="22"/>
  <c r="AF451" i="22"/>
  <c r="AG451" i="22"/>
  <c r="AH451" i="22"/>
  <c r="AI451" i="22"/>
  <c r="AJ451" i="22"/>
  <c r="AK451" i="22"/>
  <c r="AL451" i="22"/>
  <c r="AM451" i="22"/>
  <c r="AN451" i="22"/>
  <c r="AO451" i="22"/>
  <c r="AP451" i="22"/>
  <c r="AQ451" i="22"/>
  <c r="AR451" i="22"/>
  <c r="AS451" i="22"/>
  <c r="AT451" i="22"/>
  <c r="AU451" i="22"/>
  <c r="AV451" i="22"/>
  <c r="AW451" i="22"/>
  <c r="AX451" i="22"/>
  <c r="AY451" i="22"/>
  <c r="AZ451" i="22"/>
  <c r="BA451" i="22"/>
  <c r="BB451" i="22"/>
  <c r="BC451" i="22"/>
  <c r="BD451" i="22"/>
  <c r="BE451" i="22"/>
  <c r="BF451" i="22"/>
  <c r="BG451" i="22"/>
  <c r="BH451" i="22"/>
  <c r="BI451" i="22"/>
  <c r="BJ451" i="22"/>
  <c r="BK451" i="22"/>
  <c r="BL451" i="22"/>
  <c r="BM451" i="22"/>
  <c r="BN451" i="22"/>
  <c r="BO451" i="22"/>
  <c r="BP451" i="22"/>
  <c r="BQ451" i="22"/>
  <c r="BR451" i="22"/>
  <c r="BS451" i="22"/>
  <c r="BT451" i="22"/>
  <c r="BU451" i="22"/>
  <c r="BV451" i="22"/>
  <c r="BW451" i="22"/>
  <c r="BX451" i="22"/>
  <c r="BY451" i="22"/>
  <c r="BZ451" i="22"/>
  <c r="CA451" i="22"/>
  <c r="CB451" i="22"/>
  <c r="A452" i="22"/>
  <c r="B452" i="22"/>
  <c r="C452" i="22"/>
  <c r="D452" i="22"/>
  <c r="E452" i="22"/>
  <c r="F452" i="22"/>
  <c r="G452" i="22"/>
  <c r="H452" i="22"/>
  <c r="I452" i="22"/>
  <c r="J452" i="22"/>
  <c r="K452" i="22"/>
  <c r="L452" i="22"/>
  <c r="M452" i="22"/>
  <c r="N452" i="22"/>
  <c r="O452" i="22"/>
  <c r="P452" i="22"/>
  <c r="Q452" i="22"/>
  <c r="R452" i="22"/>
  <c r="S452" i="22"/>
  <c r="T452" i="22"/>
  <c r="U452" i="22"/>
  <c r="V452" i="22"/>
  <c r="W452" i="22"/>
  <c r="X452" i="22"/>
  <c r="Y452" i="22"/>
  <c r="Z452" i="22"/>
  <c r="AA452" i="22"/>
  <c r="AB452" i="22"/>
  <c r="AC452" i="22"/>
  <c r="AD452" i="22"/>
  <c r="AE452" i="22"/>
  <c r="AF452" i="22"/>
  <c r="AG452" i="22"/>
  <c r="AH452" i="22"/>
  <c r="AI452" i="22"/>
  <c r="AJ452" i="22"/>
  <c r="AK452" i="22"/>
  <c r="AL452" i="22"/>
  <c r="AM452" i="22"/>
  <c r="AN452" i="22"/>
  <c r="AO452" i="22"/>
  <c r="AP452" i="22"/>
  <c r="AQ452" i="22"/>
  <c r="AR452" i="22"/>
  <c r="AS452" i="22"/>
  <c r="AT452" i="22"/>
  <c r="AU452" i="22"/>
  <c r="AV452" i="22"/>
  <c r="AW452" i="22"/>
  <c r="AX452" i="22"/>
  <c r="AY452" i="22"/>
  <c r="AZ452" i="22"/>
  <c r="BA452" i="22"/>
  <c r="BB452" i="22"/>
  <c r="BC452" i="22"/>
  <c r="BD452" i="22"/>
  <c r="BE452" i="22"/>
  <c r="BF452" i="22"/>
  <c r="BG452" i="22"/>
  <c r="BH452" i="22"/>
  <c r="BI452" i="22"/>
  <c r="BJ452" i="22"/>
  <c r="BK452" i="22"/>
  <c r="BL452" i="22"/>
  <c r="BM452" i="22"/>
  <c r="BN452" i="22"/>
  <c r="BO452" i="22"/>
  <c r="BP452" i="22"/>
  <c r="BQ452" i="22"/>
  <c r="BR452" i="22"/>
  <c r="BS452" i="22"/>
  <c r="BT452" i="22"/>
  <c r="BU452" i="22"/>
  <c r="BV452" i="22"/>
  <c r="BW452" i="22"/>
  <c r="BX452" i="22"/>
  <c r="BY452" i="22"/>
  <c r="BZ452" i="22"/>
  <c r="CA452" i="22"/>
  <c r="CB452" i="22"/>
  <c r="A453" i="22"/>
  <c r="B453" i="22"/>
  <c r="C453" i="22"/>
  <c r="D453" i="22"/>
  <c r="E453" i="22"/>
  <c r="F453" i="22"/>
  <c r="G453" i="22"/>
  <c r="H453" i="22"/>
  <c r="I453" i="22"/>
  <c r="J453" i="22"/>
  <c r="K453" i="22"/>
  <c r="L453" i="22"/>
  <c r="M453" i="22"/>
  <c r="N453" i="22"/>
  <c r="O453" i="22"/>
  <c r="P453" i="22"/>
  <c r="Q453" i="22"/>
  <c r="R453" i="22"/>
  <c r="S453" i="22"/>
  <c r="T453" i="22"/>
  <c r="U453" i="22"/>
  <c r="V453" i="22"/>
  <c r="W453" i="22"/>
  <c r="X453" i="22"/>
  <c r="Y453" i="22"/>
  <c r="Z453" i="22"/>
  <c r="AA453" i="22"/>
  <c r="AB453" i="22"/>
  <c r="AC453" i="22"/>
  <c r="AD453" i="22"/>
  <c r="AE453" i="22"/>
  <c r="AF453" i="22"/>
  <c r="AG453" i="22"/>
  <c r="AH453" i="22"/>
  <c r="AI453" i="22"/>
  <c r="AJ453" i="22"/>
  <c r="AK453" i="22"/>
  <c r="AL453" i="22"/>
  <c r="AM453" i="22"/>
  <c r="AN453" i="22"/>
  <c r="AO453" i="22"/>
  <c r="AP453" i="22"/>
  <c r="AQ453" i="22"/>
  <c r="AR453" i="22"/>
  <c r="AS453" i="22"/>
  <c r="AT453" i="22"/>
  <c r="AU453" i="22"/>
  <c r="AV453" i="22"/>
  <c r="AW453" i="22"/>
  <c r="AX453" i="22"/>
  <c r="AY453" i="22"/>
  <c r="AZ453" i="22"/>
  <c r="BA453" i="22"/>
  <c r="BB453" i="22"/>
  <c r="BC453" i="22"/>
  <c r="BD453" i="22"/>
  <c r="BE453" i="22"/>
  <c r="BF453" i="22"/>
  <c r="BG453" i="22"/>
  <c r="BH453" i="22"/>
  <c r="BI453" i="22"/>
  <c r="BJ453" i="22"/>
  <c r="BK453" i="22"/>
  <c r="BL453" i="22"/>
  <c r="BM453" i="22"/>
  <c r="BN453" i="22"/>
  <c r="BO453" i="22"/>
  <c r="BP453" i="22"/>
  <c r="BQ453" i="22"/>
  <c r="BR453" i="22"/>
  <c r="BS453" i="22"/>
  <c r="BT453" i="22"/>
  <c r="BU453" i="22"/>
  <c r="BV453" i="22"/>
  <c r="BW453" i="22"/>
  <c r="BX453" i="22"/>
  <c r="BY453" i="22"/>
  <c r="BZ453" i="22"/>
  <c r="CA453" i="22"/>
  <c r="CB453" i="22"/>
  <c r="A454" i="22"/>
  <c r="B454" i="22"/>
  <c r="C454" i="22"/>
  <c r="D454" i="22"/>
  <c r="E454" i="22"/>
  <c r="F454" i="22"/>
  <c r="G454" i="22"/>
  <c r="H454" i="22"/>
  <c r="I454" i="22"/>
  <c r="J454" i="22"/>
  <c r="K454" i="22"/>
  <c r="L454" i="22"/>
  <c r="M454" i="22"/>
  <c r="N454" i="22"/>
  <c r="O454" i="22"/>
  <c r="P454" i="22"/>
  <c r="Q454" i="22"/>
  <c r="R454" i="22"/>
  <c r="S454" i="22"/>
  <c r="T454" i="22"/>
  <c r="U454" i="22"/>
  <c r="V454" i="22"/>
  <c r="W454" i="22"/>
  <c r="X454" i="22"/>
  <c r="Y454" i="22"/>
  <c r="Z454" i="22"/>
  <c r="AA454" i="22"/>
  <c r="AB454" i="22"/>
  <c r="AC454" i="22"/>
  <c r="AD454" i="22"/>
  <c r="AE454" i="22"/>
  <c r="AF454" i="22"/>
  <c r="AG454" i="22"/>
  <c r="AH454" i="22"/>
  <c r="AI454" i="22"/>
  <c r="AJ454" i="22"/>
  <c r="AK454" i="22"/>
  <c r="AL454" i="22"/>
  <c r="AM454" i="22"/>
  <c r="AN454" i="22"/>
  <c r="AO454" i="22"/>
  <c r="AP454" i="22"/>
  <c r="AQ454" i="22"/>
  <c r="AR454" i="22"/>
  <c r="AS454" i="22"/>
  <c r="AT454" i="22"/>
  <c r="AU454" i="22"/>
  <c r="AV454" i="22"/>
  <c r="AW454" i="22"/>
  <c r="AX454" i="22"/>
  <c r="AY454" i="22"/>
  <c r="AZ454" i="22"/>
  <c r="BA454" i="22"/>
  <c r="BB454" i="22"/>
  <c r="BC454" i="22"/>
  <c r="BD454" i="22"/>
  <c r="BE454" i="22"/>
  <c r="BF454" i="22"/>
  <c r="BG454" i="22"/>
  <c r="BH454" i="22"/>
  <c r="BI454" i="22"/>
  <c r="BJ454" i="22"/>
  <c r="BK454" i="22"/>
  <c r="BL454" i="22"/>
  <c r="BM454" i="22"/>
  <c r="BN454" i="22"/>
  <c r="BO454" i="22"/>
  <c r="BP454" i="22"/>
  <c r="BQ454" i="22"/>
  <c r="BR454" i="22"/>
  <c r="BS454" i="22"/>
  <c r="BT454" i="22"/>
  <c r="BU454" i="22"/>
  <c r="BV454" i="22"/>
  <c r="BW454" i="22"/>
  <c r="BX454" i="22"/>
  <c r="BY454" i="22"/>
  <c r="BZ454" i="22"/>
  <c r="CA454" i="22"/>
  <c r="CB454" i="22"/>
  <c r="A455" i="22"/>
  <c r="B455" i="22"/>
  <c r="C455" i="22"/>
  <c r="D455" i="22"/>
  <c r="E455" i="22"/>
  <c r="F455" i="22"/>
  <c r="G455" i="22"/>
  <c r="H455" i="22"/>
  <c r="I455" i="22"/>
  <c r="J455" i="22"/>
  <c r="K455" i="22"/>
  <c r="L455" i="22"/>
  <c r="M455" i="22"/>
  <c r="N455" i="22"/>
  <c r="O455" i="22"/>
  <c r="P455" i="22"/>
  <c r="Q455" i="22"/>
  <c r="R455" i="22"/>
  <c r="S455" i="22"/>
  <c r="T455" i="22"/>
  <c r="U455" i="22"/>
  <c r="V455" i="22"/>
  <c r="W455" i="22"/>
  <c r="X455" i="22"/>
  <c r="Y455" i="22"/>
  <c r="Z455" i="22"/>
  <c r="AA455" i="22"/>
  <c r="AB455" i="22"/>
  <c r="AC455" i="22"/>
  <c r="AD455" i="22"/>
  <c r="AE455" i="22"/>
  <c r="AF455" i="22"/>
  <c r="AG455" i="22"/>
  <c r="AH455" i="22"/>
  <c r="AI455" i="22"/>
  <c r="AJ455" i="22"/>
  <c r="AK455" i="22"/>
  <c r="AL455" i="22"/>
  <c r="AM455" i="22"/>
  <c r="AN455" i="22"/>
  <c r="AO455" i="22"/>
  <c r="AP455" i="22"/>
  <c r="AQ455" i="22"/>
  <c r="AR455" i="22"/>
  <c r="AS455" i="22"/>
  <c r="AT455" i="22"/>
  <c r="AU455" i="22"/>
  <c r="AV455" i="22"/>
  <c r="AW455" i="22"/>
  <c r="AX455" i="22"/>
  <c r="AY455" i="22"/>
  <c r="AZ455" i="22"/>
  <c r="BA455" i="22"/>
  <c r="BB455" i="22"/>
  <c r="BC455" i="22"/>
  <c r="BD455" i="22"/>
  <c r="BE455" i="22"/>
  <c r="BF455" i="22"/>
  <c r="BG455" i="22"/>
  <c r="BH455" i="22"/>
  <c r="BI455" i="22"/>
  <c r="BJ455" i="22"/>
  <c r="BK455" i="22"/>
  <c r="BL455" i="22"/>
  <c r="BM455" i="22"/>
  <c r="BN455" i="22"/>
  <c r="BO455" i="22"/>
  <c r="BP455" i="22"/>
  <c r="BQ455" i="22"/>
  <c r="BR455" i="22"/>
  <c r="BS455" i="22"/>
  <c r="BT455" i="22"/>
  <c r="BU455" i="22"/>
  <c r="BV455" i="22"/>
  <c r="BW455" i="22"/>
  <c r="BX455" i="22"/>
  <c r="BY455" i="22"/>
  <c r="BZ455" i="22"/>
  <c r="CA455" i="22"/>
  <c r="CB455" i="22"/>
  <c r="A456" i="22"/>
  <c r="B456" i="22"/>
  <c r="C456" i="22"/>
  <c r="D456" i="22"/>
  <c r="E456" i="22"/>
  <c r="F456" i="22"/>
  <c r="G456" i="22"/>
  <c r="H456" i="22"/>
  <c r="I456" i="22"/>
  <c r="J456" i="22"/>
  <c r="K456" i="22"/>
  <c r="L456" i="22"/>
  <c r="M456" i="22"/>
  <c r="N456" i="22"/>
  <c r="O456" i="22"/>
  <c r="P456" i="22"/>
  <c r="Q456" i="22"/>
  <c r="R456" i="22"/>
  <c r="S456" i="22"/>
  <c r="T456" i="22"/>
  <c r="U456" i="22"/>
  <c r="V456" i="22"/>
  <c r="W456" i="22"/>
  <c r="X456" i="22"/>
  <c r="Y456" i="22"/>
  <c r="Z456" i="22"/>
  <c r="AA456" i="22"/>
  <c r="AB456" i="22"/>
  <c r="AC456" i="22"/>
  <c r="AD456" i="22"/>
  <c r="AE456" i="22"/>
  <c r="AF456" i="22"/>
  <c r="AG456" i="22"/>
  <c r="AH456" i="22"/>
  <c r="AI456" i="22"/>
  <c r="AJ456" i="22"/>
  <c r="AK456" i="22"/>
  <c r="AL456" i="22"/>
  <c r="AM456" i="22"/>
  <c r="AN456" i="22"/>
  <c r="AO456" i="22"/>
  <c r="AP456" i="22"/>
  <c r="AQ456" i="22"/>
  <c r="AR456" i="22"/>
  <c r="AS456" i="22"/>
  <c r="AT456" i="22"/>
  <c r="AU456" i="22"/>
  <c r="AV456" i="22"/>
  <c r="AW456" i="22"/>
  <c r="AX456" i="22"/>
  <c r="AY456" i="22"/>
  <c r="AZ456" i="22"/>
  <c r="BA456" i="22"/>
  <c r="BB456" i="22"/>
  <c r="BC456" i="22"/>
  <c r="BD456" i="22"/>
  <c r="BE456" i="22"/>
  <c r="BF456" i="22"/>
  <c r="BG456" i="22"/>
  <c r="BH456" i="22"/>
  <c r="BI456" i="22"/>
  <c r="BJ456" i="22"/>
  <c r="BK456" i="22"/>
  <c r="BL456" i="22"/>
  <c r="BM456" i="22"/>
  <c r="BN456" i="22"/>
  <c r="BO456" i="22"/>
  <c r="BP456" i="22"/>
  <c r="BQ456" i="22"/>
  <c r="BR456" i="22"/>
  <c r="BS456" i="22"/>
  <c r="BT456" i="22"/>
  <c r="BU456" i="22"/>
  <c r="BV456" i="22"/>
  <c r="BW456" i="22"/>
  <c r="BX456" i="22"/>
  <c r="BY456" i="22"/>
  <c r="BZ456" i="22"/>
  <c r="CA456" i="22"/>
  <c r="CB456" i="22"/>
  <c r="A457" i="22"/>
  <c r="B457" i="22"/>
  <c r="C457" i="22"/>
  <c r="D457" i="22"/>
  <c r="E457" i="22"/>
  <c r="F457" i="22"/>
  <c r="G457" i="22"/>
  <c r="H457" i="22"/>
  <c r="I457" i="22"/>
  <c r="J457" i="22"/>
  <c r="K457" i="22"/>
  <c r="L457" i="22"/>
  <c r="M457" i="22"/>
  <c r="N457" i="22"/>
  <c r="O457" i="22"/>
  <c r="P457" i="22"/>
  <c r="Q457" i="22"/>
  <c r="R457" i="22"/>
  <c r="S457" i="22"/>
  <c r="T457" i="22"/>
  <c r="U457" i="22"/>
  <c r="V457" i="22"/>
  <c r="W457" i="22"/>
  <c r="X457" i="22"/>
  <c r="Y457" i="22"/>
  <c r="Z457" i="22"/>
  <c r="AA457" i="22"/>
  <c r="AB457" i="22"/>
  <c r="AC457" i="22"/>
  <c r="AD457" i="22"/>
  <c r="AE457" i="22"/>
  <c r="AF457" i="22"/>
  <c r="AG457" i="22"/>
  <c r="AH457" i="22"/>
  <c r="AI457" i="22"/>
  <c r="AJ457" i="22"/>
  <c r="AK457" i="22"/>
  <c r="AL457" i="22"/>
  <c r="AM457" i="22"/>
  <c r="AN457" i="22"/>
  <c r="AO457" i="22"/>
  <c r="AP457" i="22"/>
  <c r="AQ457" i="22"/>
  <c r="AR457" i="22"/>
  <c r="AS457" i="22"/>
  <c r="AT457" i="22"/>
  <c r="AU457" i="22"/>
  <c r="AV457" i="22"/>
  <c r="AW457" i="22"/>
  <c r="AX457" i="22"/>
  <c r="AY457" i="22"/>
  <c r="AZ457" i="22"/>
  <c r="BA457" i="22"/>
  <c r="BB457" i="22"/>
  <c r="BC457" i="22"/>
  <c r="BD457" i="22"/>
  <c r="BE457" i="22"/>
  <c r="BF457" i="22"/>
  <c r="BG457" i="22"/>
  <c r="BH457" i="22"/>
  <c r="BI457" i="22"/>
  <c r="BJ457" i="22"/>
  <c r="BK457" i="22"/>
  <c r="BL457" i="22"/>
  <c r="BM457" i="22"/>
  <c r="BN457" i="22"/>
  <c r="BO457" i="22"/>
  <c r="BP457" i="22"/>
  <c r="BQ457" i="22"/>
  <c r="BR457" i="22"/>
  <c r="BS457" i="22"/>
  <c r="BT457" i="22"/>
  <c r="BU457" i="22"/>
  <c r="BV457" i="22"/>
  <c r="BW457" i="22"/>
  <c r="BX457" i="22"/>
  <c r="BY457" i="22"/>
  <c r="BZ457" i="22"/>
  <c r="CA457" i="22"/>
  <c r="CB457" i="22"/>
  <c r="A458" i="22"/>
  <c r="B458" i="22"/>
  <c r="C458" i="22"/>
  <c r="D458" i="22"/>
  <c r="E458" i="22"/>
  <c r="F458" i="22"/>
  <c r="G458" i="22"/>
  <c r="H458" i="22"/>
  <c r="I458" i="22"/>
  <c r="J458" i="22"/>
  <c r="K458" i="22"/>
  <c r="L458" i="22"/>
  <c r="M458" i="22"/>
  <c r="N458" i="22"/>
  <c r="O458" i="22"/>
  <c r="P458" i="22"/>
  <c r="Q458" i="22"/>
  <c r="R458" i="22"/>
  <c r="S458" i="22"/>
  <c r="T458" i="22"/>
  <c r="U458" i="22"/>
  <c r="V458" i="22"/>
  <c r="W458" i="22"/>
  <c r="X458" i="22"/>
  <c r="Y458" i="22"/>
  <c r="Z458" i="22"/>
  <c r="AA458" i="22"/>
  <c r="AB458" i="22"/>
  <c r="AC458" i="22"/>
  <c r="AD458" i="22"/>
  <c r="AE458" i="22"/>
  <c r="AF458" i="22"/>
  <c r="AG458" i="22"/>
  <c r="AH458" i="22"/>
  <c r="AI458" i="22"/>
  <c r="AJ458" i="22"/>
  <c r="AK458" i="22"/>
  <c r="AL458" i="22"/>
  <c r="AM458" i="22"/>
  <c r="AN458" i="22"/>
  <c r="AO458" i="22"/>
  <c r="AP458" i="22"/>
  <c r="AQ458" i="22"/>
  <c r="AR458" i="22"/>
  <c r="AS458" i="22"/>
  <c r="AT458" i="22"/>
  <c r="AU458" i="22"/>
  <c r="AV458" i="22"/>
  <c r="AW458" i="22"/>
  <c r="AX458" i="22"/>
  <c r="AY458" i="22"/>
  <c r="AZ458" i="22"/>
  <c r="BA458" i="22"/>
  <c r="BB458" i="22"/>
  <c r="BC458" i="22"/>
  <c r="BD458" i="22"/>
  <c r="BE458" i="22"/>
  <c r="BF458" i="22"/>
  <c r="BG458" i="22"/>
  <c r="BH458" i="22"/>
  <c r="BI458" i="22"/>
  <c r="BJ458" i="22"/>
  <c r="BK458" i="22"/>
  <c r="BL458" i="22"/>
  <c r="BM458" i="22"/>
  <c r="BN458" i="22"/>
  <c r="BO458" i="22"/>
  <c r="BP458" i="22"/>
  <c r="BQ458" i="22"/>
  <c r="BR458" i="22"/>
  <c r="BS458" i="22"/>
  <c r="BT458" i="22"/>
  <c r="BU458" i="22"/>
  <c r="BV458" i="22"/>
  <c r="BW458" i="22"/>
  <c r="BX458" i="22"/>
  <c r="BY458" i="22"/>
  <c r="BZ458" i="22"/>
  <c r="CA458" i="22"/>
  <c r="CB458" i="22"/>
  <c r="A459" i="22"/>
  <c r="B459" i="22"/>
  <c r="C459" i="22"/>
  <c r="D459" i="22"/>
  <c r="E459" i="22"/>
  <c r="F459" i="22"/>
  <c r="G459" i="22"/>
  <c r="H459" i="22"/>
  <c r="I459" i="22"/>
  <c r="J459" i="22"/>
  <c r="K459" i="22"/>
  <c r="L459" i="22"/>
  <c r="M459" i="22"/>
  <c r="N459" i="22"/>
  <c r="O459" i="22"/>
  <c r="P459" i="22"/>
  <c r="Q459" i="22"/>
  <c r="R459" i="22"/>
  <c r="S459" i="22"/>
  <c r="T459" i="22"/>
  <c r="U459" i="22"/>
  <c r="V459" i="22"/>
  <c r="W459" i="22"/>
  <c r="X459" i="22"/>
  <c r="Y459" i="22"/>
  <c r="Z459" i="22"/>
  <c r="AA459" i="22"/>
  <c r="AB459" i="22"/>
  <c r="AC459" i="22"/>
  <c r="AD459" i="22"/>
  <c r="AE459" i="22"/>
  <c r="AF459" i="22"/>
  <c r="AG459" i="22"/>
  <c r="AH459" i="22"/>
  <c r="AI459" i="22"/>
  <c r="AJ459" i="22"/>
  <c r="AK459" i="22"/>
  <c r="AL459" i="22"/>
  <c r="AM459" i="22"/>
  <c r="AN459" i="22"/>
  <c r="AO459" i="22"/>
  <c r="AP459" i="22"/>
  <c r="AQ459" i="22"/>
  <c r="AR459" i="22"/>
  <c r="AS459" i="22"/>
  <c r="AT459" i="22"/>
  <c r="AU459" i="22"/>
  <c r="AV459" i="22"/>
  <c r="AW459" i="22"/>
  <c r="AX459" i="22"/>
  <c r="AY459" i="22"/>
  <c r="AZ459" i="22"/>
  <c r="BA459" i="22"/>
  <c r="BB459" i="22"/>
  <c r="BC459" i="22"/>
  <c r="BD459" i="22"/>
  <c r="BE459" i="22"/>
  <c r="BF459" i="22"/>
  <c r="BG459" i="22"/>
  <c r="BH459" i="22"/>
  <c r="BI459" i="22"/>
  <c r="BJ459" i="22"/>
  <c r="BK459" i="22"/>
  <c r="BL459" i="22"/>
  <c r="BM459" i="22"/>
  <c r="BN459" i="22"/>
  <c r="BO459" i="22"/>
  <c r="BP459" i="22"/>
  <c r="BQ459" i="22"/>
  <c r="BR459" i="22"/>
  <c r="BS459" i="22"/>
  <c r="BT459" i="22"/>
  <c r="BU459" i="22"/>
  <c r="BV459" i="22"/>
  <c r="BW459" i="22"/>
  <c r="BX459" i="22"/>
  <c r="BY459" i="22"/>
  <c r="BZ459" i="22"/>
  <c r="CA459" i="22"/>
  <c r="CB459" i="22"/>
  <c r="A460" i="22"/>
  <c r="B460" i="22"/>
  <c r="C460" i="22"/>
  <c r="D460" i="22"/>
  <c r="E460" i="22"/>
  <c r="F460" i="22"/>
  <c r="G460" i="22"/>
  <c r="H460" i="22"/>
  <c r="I460" i="22"/>
  <c r="J460" i="22"/>
  <c r="K460" i="22"/>
  <c r="L460" i="22"/>
  <c r="M460" i="22"/>
  <c r="N460" i="22"/>
  <c r="O460" i="22"/>
  <c r="P460" i="22"/>
  <c r="Q460" i="22"/>
  <c r="R460" i="22"/>
  <c r="S460" i="22"/>
  <c r="T460" i="22"/>
  <c r="U460" i="22"/>
  <c r="V460" i="22"/>
  <c r="W460" i="22"/>
  <c r="X460" i="22"/>
  <c r="Y460" i="22"/>
  <c r="Z460" i="22"/>
  <c r="AA460" i="22"/>
  <c r="AB460" i="22"/>
  <c r="AC460" i="22"/>
  <c r="AD460" i="22"/>
  <c r="AE460" i="22"/>
  <c r="AF460" i="22"/>
  <c r="AG460" i="22"/>
  <c r="AH460" i="22"/>
  <c r="AI460" i="22"/>
  <c r="AJ460" i="22"/>
  <c r="AK460" i="22"/>
  <c r="AL460" i="22"/>
  <c r="AM460" i="22"/>
  <c r="AN460" i="22"/>
  <c r="AO460" i="22"/>
  <c r="AP460" i="22"/>
  <c r="AQ460" i="22"/>
  <c r="AR460" i="22"/>
  <c r="AS460" i="22"/>
  <c r="AT460" i="22"/>
  <c r="AU460" i="22"/>
  <c r="AV460" i="22"/>
  <c r="AW460" i="22"/>
  <c r="AX460" i="22"/>
  <c r="AY460" i="22"/>
  <c r="AZ460" i="22"/>
  <c r="BA460" i="22"/>
  <c r="BB460" i="22"/>
  <c r="BC460" i="22"/>
  <c r="BD460" i="22"/>
  <c r="BE460" i="22"/>
  <c r="BF460" i="22"/>
  <c r="BG460" i="22"/>
  <c r="BH460" i="22"/>
  <c r="BI460" i="22"/>
  <c r="BJ460" i="22"/>
  <c r="BK460" i="22"/>
  <c r="BL460" i="22"/>
  <c r="BM460" i="22"/>
  <c r="BN460" i="22"/>
  <c r="BO460" i="22"/>
  <c r="BP460" i="22"/>
  <c r="BQ460" i="22"/>
  <c r="BR460" i="22"/>
  <c r="BS460" i="22"/>
  <c r="BT460" i="22"/>
  <c r="BU460" i="22"/>
  <c r="BV460" i="22"/>
  <c r="BW460" i="22"/>
  <c r="BX460" i="22"/>
  <c r="BY460" i="22"/>
  <c r="BZ460" i="22"/>
  <c r="CA460" i="22"/>
  <c r="CB460" i="22"/>
  <c r="A461" i="22"/>
  <c r="B461" i="22"/>
  <c r="C461" i="22"/>
  <c r="D461" i="22"/>
  <c r="E461" i="22"/>
  <c r="F461" i="22"/>
  <c r="G461" i="22"/>
  <c r="H461" i="22"/>
  <c r="I461" i="22"/>
  <c r="J461" i="22"/>
  <c r="K461" i="22"/>
  <c r="L461" i="22"/>
  <c r="M461" i="22"/>
  <c r="N461" i="22"/>
  <c r="O461" i="22"/>
  <c r="P461" i="22"/>
  <c r="Q461" i="22"/>
  <c r="R461" i="22"/>
  <c r="S461" i="22"/>
  <c r="T461" i="22"/>
  <c r="U461" i="22"/>
  <c r="V461" i="22"/>
  <c r="W461" i="22"/>
  <c r="X461" i="22"/>
  <c r="Y461" i="22"/>
  <c r="Z461" i="22"/>
  <c r="AA461" i="22"/>
  <c r="AB461" i="22"/>
  <c r="AC461" i="22"/>
  <c r="AD461" i="22"/>
  <c r="AE461" i="22"/>
  <c r="AF461" i="22"/>
  <c r="AG461" i="22"/>
  <c r="AH461" i="22"/>
  <c r="AI461" i="22"/>
  <c r="AJ461" i="22"/>
  <c r="AK461" i="22"/>
  <c r="AL461" i="22"/>
  <c r="AM461" i="22"/>
  <c r="AN461" i="22"/>
  <c r="AO461" i="22"/>
  <c r="AP461" i="22"/>
  <c r="AQ461" i="22"/>
  <c r="AR461" i="22"/>
  <c r="AS461" i="22"/>
  <c r="AT461" i="22"/>
  <c r="AU461" i="22"/>
  <c r="AV461" i="22"/>
  <c r="AW461" i="22"/>
  <c r="AX461" i="22"/>
  <c r="AY461" i="22"/>
  <c r="AZ461" i="22"/>
  <c r="BA461" i="22"/>
  <c r="BB461" i="22"/>
  <c r="BC461" i="22"/>
  <c r="BD461" i="22"/>
  <c r="BE461" i="22"/>
  <c r="BF461" i="22"/>
  <c r="BG461" i="22"/>
  <c r="BH461" i="22"/>
  <c r="BI461" i="22"/>
  <c r="BJ461" i="22"/>
  <c r="BK461" i="22"/>
  <c r="BL461" i="22"/>
  <c r="BM461" i="22"/>
  <c r="BN461" i="22"/>
  <c r="BO461" i="22"/>
  <c r="BP461" i="22"/>
  <c r="BQ461" i="22"/>
  <c r="BR461" i="22"/>
  <c r="BS461" i="22"/>
  <c r="BT461" i="22"/>
  <c r="BU461" i="22"/>
  <c r="BV461" i="22"/>
  <c r="BW461" i="22"/>
  <c r="BX461" i="22"/>
  <c r="BY461" i="22"/>
  <c r="BZ461" i="22"/>
  <c r="CA461" i="22"/>
  <c r="CB461" i="22"/>
  <c r="A462" i="22"/>
  <c r="B462" i="22"/>
  <c r="C462" i="22"/>
  <c r="D462" i="22"/>
  <c r="E462" i="22"/>
  <c r="F462" i="22"/>
  <c r="G462" i="22"/>
  <c r="H462" i="22"/>
  <c r="I462" i="22"/>
  <c r="J462" i="22"/>
  <c r="K462" i="22"/>
  <c r="L462" i="22"/>
  <c r="M462" i="22"/>
  <c r="N462" i="22"/>
  <c r="O462" i="22"/>
  <c r="P462" i="22"/>
  <c r="Q462" i="22"/>
  <c r="R462" i="22"/>
  <c r="S462" i="22"/>
  <c r="T462" i="22"/>
  <c r="U462" i="22"/>
  <c r="V462" i="22"/>
  <c r="W462" i="22"/>
  <c r="X462" i="22"/>
  <c r="Y462" i="22"/>
  <c r="Z462" i="22"/>
  <c r="AA462" i="22"/>
  <c r="AB462" i="22"/>
  <c r="AC462" i="22"/>
  <c r="AD462" i="22"/>
  <c r="AE462" i="22"/>
  <c r="AF462" i="22"/>
  <c r="AG462" i="22"/>
  <c r="AH462" i="22"/>
  <c r="AI462" i="22"/>
  <c r="AJ462" i="22"/>
  <c r="AK462" i="22"/>
  <c r="AL462" i="22"/>
  <c r="AM462" i="22"/>
  <c r="AN462" i="22"/>
  <c r="AO462" i="22"/>
  <c r="AP462" i="22"/>
  <c r="AQ462" i="22"/>
  <c r="AR462" i="22"/>
  <c r="AS462" i="22"/>
  <c r="AT462" i="22"/>
  <c r="AU462" i="22"/>
  <c r="AV462" i="22"/>
  <c r="AW462" i="22"/>
  <c r="AX462" i="22"/>
  <c r="AY462" i="22"/>
  <c r="AZ462" i="22"/>
  <c r="BA462" i="22"/>
  <c r="BB462" i="22"/>
  <c r="BC462" i="22"/>
  <c r="BD462" i="22"/>
  <c r="BE462" i="22"/>
  <c r="BF462" i="22"/>
  <c r="BG462" i="22"/>
  <c r="BH462" i="22"/>
  <c r="BI462" i="22"/>
  <c r="BJ462" i="22"/>
  <c r="BK462" i="22"/>
  <c r="BL462" i="22"/>
  <c r="BM462" i="22"/>
  <c r="BN462" i="22"/>
  <c r="BO462" i="22"/>
  <c r="BP462" i="22"/>
  <c r="BQ462" i="22"/>
  <c r="BR462" i="22"/>
  <c r="BS462" i="22"/>
  <c r="BT462" i="22"/>
  <c r="BU462" i="22"/>
  <c r="BV462" i="22"/>
  <c r="BW462" i="22"/>
  <c r="BX462" i="22"/>
  <c r="BY462" i="22"/>
  <c r="BZ462" i="22"/>
  <c r="CA462" i="22"/>
  <c r="CB462" i="22"/>
  <c r="A463" i="22"/>
  <c r="B463" i="22"/>
  <c r="C463" i="22"/>
  <c r="D463" i="22"/>
  <c r="E463" i="22"/>
  <c r="F463" i="22"/>
  <c r="G463" i="22"/>
  <c r="H463" i="22"/>
  <c r="I463" i="22"/>
  <c r="J463" i="22"/>
  <c r="K463" i="22"/>
  <c r="L463" i="22"/>
  <c r="M463" i="22"/>
  <c r="N463" i="22"/>
  <c r="O463" i="22"/>
  <c r="P463" i="22"/>
  <c r="Q463" i="22"/>
  <c r="R463" i="22"/>
  <c r="S463" i="22"/>
  <c r="T463" i="22"/>
  <c r="U463" i="22"/>
  <c r="V463" i="22"/>
  <c r="W463" i="22"/>
  <c r="X463" i="22"/>
  <c r="Y463" i="22"/>
  <c r="Z463" i="22"/>
  <c r="AA463" i="22"/>
  <c r="AB463" i="22"/>
  <c r="AC463" i="22"/>
  <c r="AD463" i="22"/>
  <c r="AE463" i="22"/>
  <c r="AF463" i="22"/>
  <c r="AG463" i="22"/>
  <c r="AH463" i="22"/>
  <c r="AI463" i="22"/>
  <c r="AJ463" i="22"/>
  <c r="AK463" i="22"/>
  <c r="AL463" i="22"/>
  <c r="AM463" i="22"/>
  <c r="AN463" i="22"/>
  <c r="AO463" i="22"/>
  <c r="AP463" i="22"/>
  <c r="AQ463" i="22"/>
  <c r="AR463" i="22"/>
  <c r="AS463" i="22"/>
  <c r="AT463" i="22"/>
  <c r="AU463" i="22"/>
  <c r="AV463" i="22"/>
  <c r="AW463" i="22"/>
  <c r="AX463" i="22"/>
  <c r="AY463" i="22"/>
  <c r="AZ463" i="22"/>
  <c r="BA463" i="22"/>
  <c r="BB463" i="22"/>
  <c r="BC463" i="22"/>
  <c r="BD463" i="22"/>
  <c r="BE463" i="22"/>
  <c r="BF463" i="22"/>
  <c r="BG463" i="22"/>
  <c r="BH463" i="22"/>
  <c r="BI463" i="22"/>
  <c r="BJ463" i="22"/>
  <c r="BK463" i="22"/>
  <c r="BL463" i="22"/>
  <c r="BM463" i="22"/>
  <c r="BN463" i="22"/>
  <c r="BO463" i="22"/>
  <c r="BP463" i="22"/>
  <c r="BQ463" i="22"/>
  <c r="BR463" i="22"/>
  <c r="BS463" i="22"/>
  <c r="BT463" i="22"/>
  <c r="BU463" i="22"/>
  <c r="BV463" i="22"/>
  <c r="BW463" i="22"/>
  <c r="BX463" i="22"/>
  <c r="BY463" i="22"/>
  <c r="BZ463" i="22"/>
  <c r="CA463" i="22"/>
  <c r="CB463" i="22"/>
  <c r="A464" i="22"/>
  <c r="B464" i="22"/>
  <c r="C464" i="22"/>
  <c r="D464" i="22"/>
  <c r="E464" i="22"/>
  <c r="F464" i="22"/>
  <c r="G464" i="22"/>
  <c r="H464" i="22"/>
  <c r="I464" i="22"/>
  <c r="J464" i="22"/>
  <c r="K464" i="22"/>
  <c r="L464" i="22"/>
  <c r="M464" i="22"/>
  <c r="N464" i="22"/>
  <c r="O464" i="22"/>
  <c r="P464" i="22"/>
  <c r="Q464" i="22"/>
  <c r="R464" i="22"/>
  <c r="S464" i="22"/>
  <c r="T464" i="22"/>
  <c r="U464" i="22"/>
  <c r="V464" i="22"/>
  <c r="W464" i="22"/>
  <c r="X464" i="22"/>
  <c r="Y464" i="22"/>
  <c r="Z464" i="22"/>
  <c r="AA464" i="22"/>
  <c r="AB464" i="22"/>
  <c r="AC464" i="22"/>
  <c r="AD464" i="22"/>
  <c r="AE464" i="22"/>
  <c r="AF464" i="22"/>
  <c r="AG464" i="22"/>
  <c r="AH464" i="22"/>
  <c r="AI464" i="22"/>
  <c r="AJ464" i="22"/>
  <c r="AK464" i="22"/>
  <c r="AL464" i="22"/>
  <c r="AM464" i="22"/>
  <c r="AN464" i="22"/>
  <c r="AO464" i="22"/>
  <c r="AP464" i="22"/>
  <c r="AQ464" i="22"/>
  <c r="AR464" i="22"/>
  <c r="AS464" i="22"/>
  <c r="AT464" i="22"/>
  <c r="AU464" i="22"/>
  <c r="AV464" i="22"/>
  <c r="AW464" i="22"/>
  <c r="AX464" i="22"/>
  <c r="AY464" i="22"/>
  <c r="AZ464" i="22"/>
  <c r="BA464" i="22"/>
  <c r="BB464" i="22"/>
  <c r="BC464" i="22"/>
  <c r="BD464" i="22"/>
  <c r="BE464" i="22"/>
  <c r="BF464" i="22"/>
  <c r="BG464" i="22"/>
  <c r="BH464" i="22"/>
  <c r="BI464" i="22"/>
  <c r="BJ464" i="22"/>
  <c r="BK464" i="22"/>
  <c r="BL464" i="22"/>
  <c r="BM464" i="22"/>
  <c r="BN464" i="22"/>
  <c r="BO464" i="22"/>
  <c r="BP464" i="22"/>
  <c r="BQ464" i="22"/>
  <c r="BR464" i="22"/>
  <c r="BS464" i="22"/>
  <c r="BT464" i="22"/>
  <c r="BU464" i="22"/>
  <c r="BV464" i="22"/>
  <c r="BW464" i="22"/>
  <c r="BX464" i="22"/>
  <c r="BY464" i="22"/>
  <c r="BZ464" i="22"/>
  <c r="CA464" i="22"/>
  <c r="CB464" i="22"/>
  <c r="A465" i="22"/>
  <c r="B465" i="22"/>
  <c r="C465" i="22"/>
  <c r="D465" i="22"/>
  <c r="E465" i="22"/>
  <c r="F465" i="22"/>
  <c r="G465" i="22"/>
  <c r="H465" i="22"/>
  <c r="I465" i="22"/>
  <c r="J465" i="22"/>
  <c r="K465" i="22"/>
  <c r="L465" i="22"/>
  <c r="M465" i="22"/>
  <c r="N465" i="22"/>
  <c r="O465" i="22"/>
  <c r="P465" i="22"/>
  <c r="Q465" i="22"/>
  <c r="R465" i="22"/>
  <c r="S465" i="22"/>
  <c r="T465" i="22"/>
  <c r="U465" i="22"/>
  <c r="V465" i="22"/>
  <c r="W465" i="22"/>
  <c r="X465" i="22"/>
  <c r="Y465" i="22"/>
  <c r="Z465" i="22"/>
  <c r="AA465" i="22"/>
  <c r="AB465" i="22"/>
  <c r="AC465" i="22"/>
  <c r="AD465" i="22"/>
  <c r="AE465" i="22"/>
  <c r="AF465" i="22"/>
  <c r="AG465" i="22"/>
  <c r="AH465" i="22"/>
  <c r="AI465" i="22"/>
  <c r="AJ465" i="22"/>
  <c r="AK465" i="22"/>
  <c r="AL465" i="22"/>
  <c r="AM465" i="22"/>
  <c r="AN465" i="22"/>
  <c r="AO465" i="22"/>
  <c r="AP465" i="22"/>
  <c r="AQ465" i="22"/>
  <c r="AR465" i="22"/>
  <c r="AS465" i="22"/>
  <c r="AT465" i="22"/>
  <c r="AU465" i="22"/>
  <c r="AV465" i="22"/>
  <c r="AW465" i="22"/>
  <c r="AX465" i="22"/>
  <c r="AY465" i="22"/>
  <c r="AZ465" i="22"/>
  <c r="BA465" i="22"/>
  <c r="BB465" i="22"/>
  <c r="BC465" i="22"/>
  <c r="BD465" i="22"/>
  <c r="BE465" i="22"/>
  <c r="BF465" i="22"/>
  <c r="BG465" i="22"/>
  <c r="BH465" i="22"/>
  <c r="BI465" i="22"/>
  <c r="BJ465" i="22"/>
  <c r="BK465" i="22"/>
  <c r="BL465" i="22"/>
  <c r="BM465" i="22"/>
  <c r="BN465" i="22"/>
  <c r="BO465" i="22"/>
  <c r="BP465" i="22"/>
  <c r="BQ465" i="22"/>
  <c r="BR465" i="22"/>
  <c r="BS465" i="22"/>
  <c r="BT465" i="22"/>
  <c r="BU465" i="22"/>
  <c r="BV465" i="22"/>
  <c r="BW465" i="22"/>
  <c r="BX465" i="22"/>
  <c r="BY465" i="22"/>
  <c r="BZ465" i="22"/>
  <c r="CA465" i="22"/>
  <c r="CB465" i="22"/>
  <c r="A466" i="22"/>
  <c r="B466" i="22"/>
  <c r="C466" i="22"/>
  <c r="D466" i="22"/>
  <c r="E466" i="22"/>
  <c r="F466" i="22"/>
  <c r="G466" i="22"/>
  <c r="H466" i="22"/>
  <c r="I466" i="22"/>
  <c r="J466" i="22"/>
  <c r="K466" i="22"/>
  <c r="L466" i="22"/>
  <c r="M466" i="22"/>
  <c r="N466" i="22"/>
  <c r="O466" i="22"/>
  <c r="P466" i="22"/>
  <c r="Q466" i="22"/>
  <c r="R466" i="22"/>
  <c r="S466" i="22"/>
  <c r="T466" i="22"/>
  <c r="U466" i="22"/>
  <c r="V466" i="22"/>
  <c r="W466" i="22"/>
  <c r="X466" i="22"/>
  <c r="Y466" i="22"/>
  <c r="Z466" i="22"/>
  <c r="AA466" i="22"/>
  <c r="AB466" i="22"/>
  <c r="AC466" i="22"/>
  <c r="AD466" i="22"/>
  <c r="AE466" i="22"/>
  <c r="AF466" i="22"/>
  <c r="AG466" i="22"/>
  <c r="AH466" i="22"/>
  <c r="AI466" i="22"/>
  <c r="AJ466" i="22"/>
  <c r="AK466" i="22"/>
  <c r="AL466" i="22"/>
  <c r="AM466" i="22"/>
  <c r="AN466" i="22"/>
  <c r="AO466" i="22"/>
  <c r="AP466" i="22"/>
  <c r="AQ466" i="22"/>
  <c r="AR466" i="22"/>
  <c r="AS466" i="22"/>
  <c r="AT466" i="22"/>
  <c r="AU466" i="22"/>
  <c r="AV466" i="22"/>
  <c r="AW466" i="22"/>
  <c r="AX466" i="22"/>
  <c r="AY466" i="22"/>
  <c r="AZ466" i="22"/>
  <c r="BA466" i="22"/>
  <c r="BB466" i="22"/>
  <c r="BC466" i="22"/>
  <c r="BD466" i="22"/>
  <c r="BE466" i="22"/>
  <c r="BF466" i="22"/>
  <c r="BG466" i="22"/>
  <c r="BH466" i="22"/>
  <c r="BI466" i="22"/>
  <c r="BJ466" i="22"/>
  <c r="BK466" i="22"/>
  <c r="BL466" i="22"/>
  <c r="BM466" i="22"/>
  <c r="BN466" i="22"/>
  <c r="BO466" i="22"/>
  <c r="BP466" i="22"/>
  <c r="BQ466" i="22"/>
  <c r="BR466" i="22"/>
  <c r="BS466" i="22"/>
  <c r="BT466" i="22"/>
  <c r="BU466" i="22"/>
  <c r="BV466" i="22"/>
  <c r="BW466" i="22"/>
  <c r="BX466" i="22"/>
  <c r="BY466" i="22"/>
  <c r="BZ466" i="22"/>
  <c r="CA466" i="22"/>
  <c r="CB466" i="22"/>
  <c r="A467" i="22"/>
  <c r="B467" i="22"/>
  <c r="C467" i="22"/>
  <c r="D467" i="22"/>
  <c r="E467" i="22"/>
  <c r="F467" i="22"/>
  <c r="G467" i="22"/>
  <c r="H467" i="22"/>
  <c r="I467" i="22"/>
  <c r="J467" i="22"/>
  <c r="K467" i="22"/>
  <c r="L467" i="22"/>
  <c r="M467" i="22"/>
  <c r="N467" i="22"/>
  <c r="O467" i="22"/>
  <c r="P467" i="22"/>
  <c r="Q467" i="22"/>
  <c r="R467" i="22"/>
  <c r="S467" i="22"/>
  <c r="T467" i="22"/>
  <c r="U467" i="22"/>
  <c r="V467" i="22"/>
  <c r="W467" i="22"/>
  <c r="X467" i="22"/>
  <c r="Y467" i="22"/>
  <c r="Z467" i="22"/>
  <c r="AA467" i="22"/>
  <c r="AB467" i="22"/>
  <c r="AC467" i="22"/>
  <c r="AD467" i="22"/>
  <c r="AE467" i="22"/>
  <c r="AF467" i="22"/>
  <c r="AG467" i="22"/>
  <c r="AH467" i="22"/>
  <c r="AI467" i="22"/>
  <c r="AJ467" i="22"/>
  <c r="AK467" i="22"/>
  <c r="AL467" i="22"/>
  <c r="AM467" i="22"/>
  <c r="AN467" i="22"/>
  <c r="AO467" i="22"/>
  <c r="AP467" i="22"/>
  <c r="AQ467" i="22"/>
  <c r="AR467" i="22"/>
  <c r="AS467" i="22"/>
  <c r="AT467" i="22"/>
  <c r="AU467" i="22"/>
  <c r="AV467" i="22"/>
  <c r="AW467" i="22"/>
  <c r="AX467" i="22"/>
  <c r="AY467" i="22"/>
  <c r="AZ467" i="22"/>
  <c r="BA467" i="22"/>
  <c r="BB467" i="22"/>
  <c r="BC467" i="22"/>
  <c r="BD467" i="22"/>
  <c r="BE467" i="22"/>
  <c r="BF467" i="22"/>
  <c r="BG467" i="22"/>
  <c r="BH467" i="22"/>
  <c r="BI467" i="22"/>
  <c r="BJ467" i="22"/>
  <c r="BK467" i="22"/>
  <c r="BL467" i="22"/>
  <c r="BM467" i="22"/>
  <c r="BN467" i="22"/>
  <c r="BO467" i="22"/>
  <c r="BP467" i="22"/>
  <c r="BQ467" i="22"/>
  <c r="BR467" i="22"/>
  <c r="BS467" i="22"/>
  <c r="BT467" i="22"/>
  <c r="BU467" i="22"/>
  <c r="BV467" i="22"/>
  <c r="BW467" i="22"/>
  <c r="BX467" i="22"/>
  <c r="BY467" i="22"/>
  <c r="BZ467" i="22"/>
  <c r="CA467" i="22"/>
  <c r="CB467" i="22"/>
  <c r="A468" i="22"/>
  <c r="B468" i="22"/>
  <c r="C468" i="22"/>
  <c r="D468" i="22"/>
  <c r="E468" i="22"/>
  <c r="F468" i="22"/>
  <c r="G468" i="22"/>
  <c r="H468" i="22"/>
  <c r="I468" i="22"/>
  <c r="J468" i="22"/>
  <c r="K468" i="22"/>
  <c r="L468" i="22"/>
  <c r="M468" i="22"/>
  <c r="N468" i="22"/>
  <c r="O468" i="22"/>
  <c r="P468" i="22"/>
  <c r="Q468" i="22"/>
  <c r="R468" i="22"/>
  <c r="S468" i="22"/>
  <c r="T468" i="22"/>
  <c r="U468" i="22"/>
  <c r="V468" i="22"/>
  <c r="W468" i="22"/>
  <c r="X468" i="22"/>
  <c r="Y468" i="22"/>
  <c r="Z468" i="22"/>
  <c r="AA468" i="22"/>
  <c r="AB468" i="22"/>
  <c r="AC468" i="22"/>
  <c r="AD468" i="22"/>
  <c r="AE468" i="22"/>
  <c r="AF468" i="22"/>
  <c r="AG468" i="22"/>
  <c r="AH468" i="22"/>
  <c r="AI468" i="22"/>
  <c r="AJ468" i="22"/>
  <c r="AK468" i="22"/>
  <c r="AL468" i="22"/>
  <c r="AM468" i="22"/>
  <c r="AN468" i="22"/>
  <c r="AO468" i="22"/>
  <c r="AP468" i="22"/>
  <c r="AQ468" i="22"/>
  <c r="AR468" i="22"/>
  <c r="AS468" i="22"/>
  <c r="AT468" i="22"/>
  <c r="AU468" i="22"/>
  <c r="AV468" i="22"/>
  <c r="AW468" i="22"/>
  <c r="AX468" i="22"/>
  <c r="AY468" i="22"/>
  <c r="AZ468" i="22"/>
  <c r="BA468" i="22"/>
  <c r="BB468" i="22"/>
  <c r="BC468" i="22"/>
  <c r="BD468" i="22"/>
  <c r="BE468" i="22"/>
  <c r="BF468" i="22"/>
  <c r="BG468" i="22"/>
  <c r="BH468" i="22"/>
  <c r="BI468" i="22"/>
  <c r="BJ468" i="22"/>
  <c r="BK468" i="22"/>
  <c r="BL468" i="22"/>
  <c r="BM468" i="22"/>
  <c r="BN468" i="22"/>
  <c r="BO468" i="22"/>
  <c r="BP468" i="22"/>
  <c r="BQ468" i="22"/>
  <c r="BR468" i="22"/>
  <c r="BS468" i="22"/>
  <c r="BT468" i="22"/>
  <c r="BU468" i="22"/>
  <c r="BV468" i="22"/>
  <c r="BW468" i="22"/>
  <c r="BX468" i="22"/>
  <c r="BY468" i="22"/>
  <c r="BZ468" i="22"/>
  <c r="CA468" i="22"/>
  <c r="CB468" i="22"/>
  <c r="A469" i="22"/>
  <c r="B469" i="22"/>
  <c r="C469" i="22"/>
  <c r="D469" i="22"/>
  <c r="E469" i="22"/>
  <c r="F469" i="22"/>
  <c r="G469" i="22"/>
  <c r="H469" i="22"/>
  <c r="I469" i="22"/>
  <c r="J469" i="22"/>
  <c r="K469" i="22"/>
  <c r="L469" i="22"/>
  <c r="M469" i="22"/>
  <c r="N469" i="22"/>
  <c r="O469" i="22"/>
  <c r="P469" i="22"/>
  <c r="Q469" i="22"/>
  <c r="R469" i="22"/>
  <c r="S469" i="22"/>
  <c r="T469" i="22"/>
  <c r="U469" i="22"/>
  <c r="V469" i="22"/>
  <c r="W469" i="22"/>
  <c r="X469" i="22"/>
  <c r="Y469" i="22"/>
  <c r="Z469" i="22"/>
  <c r="AA469" i="22"/>
  <c r="AB469" i="22"/>
  <c r="AC469" i="22"/>
  <c r="AD469" i="22"/>
  <c r="AE469" i="22"/>
  <c r="AF469" i="22"/>
  <c r="AG469" i="22"/>
  <c r="AH469" i="22"/>
  <c r="AI469" i="22"/>
  <c r="AJ469" i="22"/>
  <c r="AK469" i="22"/>
  <c r="AL469" i="22"/>
  <c r="AM469" i="22"/>
  <c r="AN469" i="22"/>
  <c r="AO469" i="22"/>
  <c r="AP469" i="22"/>
  <c r="AQ469" i="22"/>
  <c r="AR469" i="22"/>
  <c r="AS469" i="22"/>
  <c r="AT469" i="22"/>
  <c r="AU469" i="22"/>
  <c r="AV469" i="22"/>
  <c r="AW469" i="22"/>
  <c r="AX469" i="22"/>
  <c r="AY469" i="22"/>
  <c r="AZ469" i="22"/>
  <c r="BA469" i="22"/>
  <c r="BB469" i="22"/>
  <c r="BC469" i="22"/>
  <c r="BD469" i="22"/>
  <c r="BE469" i="22"/>
  <c r="BF469" i="22"/>
  <c r="BG469" i="22"/>
  <c r="BH469" i="22"/>
  <c r="BI469" i="22"/>
  <c r="BJ469" i="22"/>
  <c r="BK469" i="22"/>
  <c r="BL469" i="22"/>
  <c r="BM469" i="22"/>
  <c r="BN469" i="22"/>
  <c r="BO469" i="22"/>
  <c r="BP469" i="22"/>
  <c r="BQ469" i="22"/>
  <c r="BR469" i="22"/>
  <c r="BS469" i="22"/>
  <c r="BT469" i="22"/>
  <c r="BU469" i="22"/>
  <c r="BV469" i="22"/>
  <c r="BW469" i="22"/>
  <c r="BX469" i="22"/>
  <c r="BY469" i="22"/>
  <c r="BZ469" i="22"/>
  <c r="CA469" i="22"/>
  <c r="CB469" i="22"/>
  <c r="A470" i="22"/>
  <c r="B470" i="22"/>
  <c r="C470" i="22"/>
  <c r="D470" i="22"/>
  <c r="E470" i="22"/>
  <c r="F470" i="22"/>
  <c r="G470" i="22"/>
  <c r="H470" i="22"/>
  <c r="I470" i="22"/>
  <c r="J470" i="22"/>
  <c r="K470" i="22"/>
  <c r="L470" i="22"/>
  <c r="M470" i="22"/>
  <c r="N470" i="22"/>
  <c r="O470" i="22"/>
  <c r="P470" i="22"/>
  <c r="Q470" i="22"/>
  <c r="R470" i="22"/>
  <c r="S470" i="22"/>
  <c r="T470" i="22"/>
  <c r="U470" i="22"/>
  <c r="V470" i="22"/>
  <c r="W470" i="22"/>
  <c r="X470" i="22"/>
  <c r="Y470" i="22"/>
  <c r="Z470" i="22"/>
  <c r="AA470" i="22"/>
  <c r="AB470" i="22"/>
  <c r="AC470" i="22"/>
  <c r="AD470" i="22"/>
  <c r="AE470" i="22"/>
  <c r="AF470" i="22"/>
  <c r="AG470" i="22"/>
  <c r="AH470" i="22"/>
  <c r="AI470" i="22"/>
  <c r="AJ470" i="22"/>
  <c r="AK470" i="22"/>
  <c r="AL470" i="22"/>
  <c r="AM470" i="22"/>
  <c r="AN470" i="22"/>
  <c r="AO470" i="22"/>
  <c r="AP470" i="22"/>
  <c r="AQ470" i="22"/>
  <c r="AR470" i="22"/>
  <c r="AS470" i="22"/>
  <c r="AT470" i="22"/>
  <c r="AU470" i="22"/>
  <c r="AV470" i="22"/>
  <c r="AW470" i="22"/>
  <c r="AX470" i="22"/>
  <c r="AY470" i="22"/>
  <c r="AZ470" i="22"/>
  <c r="BA470" i="22"/>
  <c r="BB470" i="22"/>
  <c r="BC470" i="22"/>
  <c r="BD470" i="22"/>
  <c r="BE470" i="22"/>
  <c r="BF470" i="22"/>
  <c r="BG470" i="22"/>
  <c r="BH470" i="22"/>
  <c r="BI470" i="22"/>
  <c r="BJ470" i="22"/>
  <c r="BK470" i="22"/>
  <c r="BL470" i="22"/>
  <c r="BM470" i="22"/>
  <c r="BN470" i="22"/>
  <c r="BO470" i="22"/>
  <c r="BP470" i="22"/>
  <c r="BQ470" i="22"/>
  <c r="BR470" i="22"/>
  <c r="BS470" i="22"/>
  <c r="BT470" i="22"/>
  <c r="BU470" i="22"/>
  <c r="BV470" i="22"/>
  <c r="BW470" i="22"/>
  <c r="BX470" i="22"/>
  <c r="BY470" i="22"/>
  <c r="BZ470" i="22"/>
  <c r="CA470" i="22"/>
  <c r="CB470" i="22"/>
  <c r="A471" i="22"/>
  <c r="B471" i="22"/>
  <c r="C471" i="22"/>
  <c r="D471" i="22"/>
  <c r="E471" i="22"/>
  <c r="F471" i="22"/>
  <c r="G471" i="22"/>
  <c r="H471" i="22"/>
  <c r="I471" i="22"/>
  <c r="J471" i="22"/>
  <c r="K471" i="22"/>
  <c r="L471" i="22"/>
  <c r="M471" i="22"/>
  <c r="N471" i="22"/>
  <c r="O471" i="22"/>
  <c r="P471" i="22"/>
  <c r="Q471" i="22"/>
  <c r="R471" i="22"/>
  <c r="S471" i="22"/>
  <c r="T471" i="22"/>
  <c r="U471" i="22"/>
  <c r="V471" i="22"/>
  <c r="W471" i="22"/>
  <c r="X471" i="22"/>
  <c r="Y471" i="22"/>
  <c r="Z471" i="22"/>
  <c r="AA471" i="22"/>
  <c r="AB471" i="22"/>
  <c r="AC471" i="22"/>
  <c r="AD471" i="22"/>
  <c r="AE471" i="22"/>
  <c r="AF471" i="22"/>
  <c r="AG471" i="22"/>
  <c r="AH471" i="22"/>
  <c r="AI471" i="22"/>
  <c r="AJ471" i="22"/>
  <c r="AK471" i="22"/>
  <c r="AL471" i="22"/>
  <c r="AM471" i="22"/>
  <c r="AN471" i="22"/>
  <c r="AO471" i="22"/>
  <c r="AP471" i="22"/>
  <c r="AQ471" i="22"/>
  <c r="AR471" i="22"/>
  <c r="AS471" i="22"/>
  <c r="AT471" i="22"/>
  <c r="AU471" i="22"/>
  <c r="AV471" i="22"/>
  <c r="AW471" i="22"/>
  <c r="AX471" i="22"/>
  <c r="AY471" i="22"/>
  <c r="AZ471" i="22"/>
  <c r="BA471" i="22"/>
  <c r="BB471" i="22"/>
  <c r="BC471" i="22"/>
  <c r="BD471" i="22"/>
  <c r="BE471" i="22"/>
  <c r="BF471" i="22"/>
  <c r="BG471" i="22"/>
  <c r="BH471" i="22"/>
  <c r="BI471" i="22"/>
  <c r="BJ471" i="22"/>
  <c r="BK471" i="22"/>
  <c r="BL471" i="22"/>
  <c r="BM471" i="22"/>
  <c r="BN471" i="22"/>
  <c r="BO471" i="22"/>
  <c r="BP471" i="22"/>
  <c r="BQ471" i="22"/>
  <c r="BR471" i="22"/>
  <c r="BS471" i="22"/>
  <c r="BT471" i="22"/>
  <c r="BU471" i="22"/>
  <c r="BV471" i="22"/>
  <c r="BW471" i="22"/>
  <c r="BX471" i="22"/>
  <c r="BY471" i="22"/>
  <c r="BZ471" i="22"/>
  <c r="CA471" i="22"/>
  <c r="CB471" i="22"/>
  <c r="A472" i="22"/>
  <c r="B472" i="22"/>
  <c r="C472" i="22"/>
  <c r="D472" i="22"/>
  <c r="E472" i="22"/>
  <c r="F472" i="22"/>
  <c r="G472" i="22"/>
  <c r="H472" i="22"/>
  <c r="I472" i="22"/>
  <c r="J472" i="22"/>
  <c r="K472" i="22"/>
  <c r="L472" i="22"/>
  <c r="M472" i="22"/>
  <c r="N472" i="22"/>
  <c r="O472" i="22"/>
  <c r="P472" i="22"/>
  <c r="Q472" i="22"/>
  <c r="R472" i="22"/>
  <c r="S472" i="22"/>
  <c r="T472" i="22"/>
  <c r="U472" i="22"/>
  <c r="V472" i="22"/>
  <c r="W472" i="22"/>
  <c r="X472" i="22"/>
  <c r="Y472" i="22"/>
  <c r="Z472" i="22"/>
  <c r="AA472" i="22"/>
  <c r="AB472" i="22"/>
  <c r="AC472" i="22"/>
  <c r="AD472" i="22"/>
  <c r="AE472" i="22"/>
  <c r="AF472" i="22"/>
  <c r="AG472" i="22"/>
  <c r="AH472" i="22"/>
  <c r="AI472" i="22"/>
  <c r="AJ472" i="22"/>
  <c r="AK472" i="22"/>
  <c r="AL472" i="22"/>
  <c r="AM472" i="22"/>
  <c r="AN472" i="22"/>
  <c r="AO472" i="22"/>
  <c r="AP472" i="22"/>
  <c r="AQ472" i="22"/>
  <c r="AR472" i="22"/>
  <c r="AS472" i="22"/>
  <c r="AT472" i="22"/>
  <c r="AU472" i="22"/>
  <c r="AV472" i="22"/>
  <c r="AW472" i="22"/>
  <c r="AX472" i="22"/>
  <c r="AY472" i="22"/>
  <c r="AZ472" i="22"/>
  <c r="BA472" i="22"/>
  <c r="BB472" i="22"/>
  <c r="BC472" i="22"/>
  <c r="BD472" i="22"/>
  <c r="BE472" i="22"/>
  <c r="BF472" i="22"/>
  <c r="BG472" i="22"/>
  <c r="BH472" i="22"/>
  <c r="BI472" i="22"/>
  <c r="BJ472" i="22"/>
  <c r="BK472" i="22"/>
  <c r="BL472" i="22"/>
  <c r="BM472" i="22"/>
  <c r="BN472" i="22"/>
  <c r="BO472" i="22"/>
  <c r="BP472" i="22"/>
  <c r="BQ472" i="22"/>
  <c r="BR472" i="22"/>
  <c r="BS472" i="22"/>
  <c r="BT472" i="22"/>
  <c r="BU472" i="22"/>
  <c r="BV472" i="22"/>
  <c r="BW472" i="22"/>
  <c r="BX472" i="22"/>
  <c r="BY472" i="22"/>
  <c r="BZ472" i="22"/>
  <c r="CA472" i="22"/>
  <c r="CB472" i="22"/>
  <c r="A473" i="22"/>
  <c r="B473" i="22"/>
  <c r="C473" i="22"/>
  <c r="D473" i="22"/>
  <c r="E473" i="22"/>
  <c r="F473" i="22"/>
  <c r="G473" i="22"/>
  <c r="H473" i="22"/>
  <c r="I473" i="22"/>
  <c r="J473" i="22"/>
  <c r="K473" i="22"/>
  <c r="L473" i="22"/>
  <c r="M473" i="22"/>
  <c r="N473" i="22"/>
  <c r="O473" i="22"/>
  <c r="P473" i="22"/>
  <c r="Q473" i="22"/>
  <c r="R473" i="22"/>
  <c r="S473" i="22"/>
  <c r="T473" i="22"/>
  <c r="U473" i="22"/>
  <c r="V473" i="22"/>
  <c r="W473" i="22"/>
  <c r="X473" i="22"/>
  <c r="Y473" i="22"/>
  <c r="Z473" i="22"/>
  <c r="AA473" i="22"/>
  <c r="AB473" i="22"/>
  <c r="AC473" i="22"/>
  <c r="AD473" i="22"/>
  <c r="AE473" i="22"/>
  <c r="AF473" i="22"/>
  <c r="AG473" i="22"/>
  <c r="AH473" i="22"/>
  <c r="AI473" i="22"/>
  <c r="AJ473" i="22"/>
  <c r="AK473" i="22"/>
  <c r="AL473" i="22"/>
  <c r="AM473" i="22"/>
  <c r="AN473" i="22"/>
  <c r="AO473" i="22"/>
  <c r="AP473" i="22"/>
  <c r="AQ473" i="22"/>
  <c r="AR473" i="22"/>
  <c r="AS473" i="22"/>
  <c r="AT473" i="22"/>
  <c r="AU473" i="22"/>
  <c r="AV473" i="22"/>
  <c r="AW473" i="22"/>
  <c r="AX473" i="22"/>
  <c r="AY473" i="22"/>
  <c r="AZ473" i="22"/>
  <c r="BA473" i="22"/>
  <c r="BB473" i="22"/>
  <c r="BC473" i="22"/>
  <c r="BD473" i="22"/>
  <c r="BE473" i="22"/>
  <c r="BF473" i="22"/>
  <c r="BG473" i="22"/>
  <c r="BH473" i="22"/>
  <c r="BI473" i="22"/>
  <c r="BJ473" i="22"/>
  <c r="BK473" i="22"/>
  <c r="BL473" i="22"/>
  <c r="BM473" i="22"/>
  <c r="BN473" i="22"/>
  <c r="BO473" i="22"/>
  <c r="BP473" i="22"/>
  <c r="BQ473" i="22"/>
  <c r="BR473" i="22"/>
  <c r="BS473" i="22"/>
  <c r="BT473" i="22"/>
  <c r="BU473" i="22"/>
  <c r="BV473" i="22"/>
  <c r="BW473" i="22"/>
  <c r="BX473" i="22"/>
  <c r="BY473" i="22"/>
  <c r="BZ473" i="22"/>
  <c r="CA473" i="22"/>
  <c r="CB473" i="22"/>
  <c r="A474" i="22"/>
  <c r="B474" i="22"/>
  <c r="C474" i="22"/>
  <c r="D474" i="22"/>
  <c r="E474" i="22"/>
  <c r="F474" i="22"/>
  <c r="G474" i="22"/>
  <c r="H474" i="22"/>
  <c r="I474" i="22"/>
  <c r="J474" i="22"/>
  <c r="K474" i="22"/>
  <c r="L474" i="22"/>
  <c r="M474" i="22"/>
  <c r="N474" i="22"/>
  <c r="O474" i="22"/>
  <c r="P474" i="22"/>
  <c r="Q474" i="22"/>
  <c r="R474" i="22"/>
  <c r="S474" i="22"/>
  <c r="T474" i="22"/>
  <c r="U474" i="22"/>
  <c r="V474" i="22"/>
  <c r="W474" i="22"/>
  <c r="X474" i="22"/>
  <c r="Y474" i="22"/>
  <c r="Z474" i="22"/>
  <c r="AA474" i="22"/>
  <c r="AB474" i="22"/>
  <c r="AC474" i="22"/>
  <c r="AD474" i="22"/>
  <c r="AE474" i="22"/>
  <c r="AF474" i="22"/>
  <c r="AG474" i="22"/>
  <c r="AH474" i="22"/>
  <c r="AI474" i="22"/>
  <c r="AJ474" i="22"/>
  <c r="AK474" i="22"/>
  <c r="AL474" i="22"/>
  <c r="AM474" i="22"/>
  <c r="AN474" i="22"/>
  <c r="AO474" i="22"/>
  <c r="AP474" i="22"/>
  <c r="AQ474" i="22"/>
  <c r="AR474" i="22"/>
  <c r="AS474" i="22"/>
  <c r="AT474" i="22"/>
  <c r="AU474" i="22"/>
  <c r="AV474" i="22"/>
  <c r="AW474" i="22"/>
  <c r="AX474" i="22"/>
  <c r="AY474" i="22"/>
  <c r="AZ474" i="22"/>
  <c r="BA474" i="22"/>
  <c r="BB474" i="22"/>
  <c r="BC474" i="22"/>
  <c r="BD474" i="22"/>
  <c r="BE474" i="22"/>
  <c r="BF474" i="22"/>
  <c r="BG474" i="22"/>
  <c r="BH474" i="22"/>
  <c r="BI474" i="22"/>
  <c r="BJ474" i="22"/>
  <c r="BK474" i="22"/>
  <c r="BL474" i="22"/>
  <c r="BM474" i="22"/>
  <c r="BN474" i="22"/>
  <c r="BO474" i="22"/>
  <c r="BP474" i="22"/>
  <c r="BQ474" i="22"/>
  <c r="BR474" i="22"/>
  <c r="BS474" i="22"/>
  <c r="BT474" i="22"/>
  <c r="BU474" i="22"/>
  <c r="BV474" i="22"/>
  <c r="BW474" i="22"/>
  <c r="BX474" i="22"/>
  <c r="BY474" i="22"/>
  <c r="BZ474" i="22"/>
  <c r="CA474" i="22"/>
  <c r="CB474" i="22"/>
  <c r="A475" i="22"/>
  <c r="B475" i="22"/>
  <c r="C475" i="22"/>
  <c r="D475" i="22"/>
  <c r="E475" i="22"/>
  <c r="F475" i="22"/>
  <c r="G475" i="22"/>
  <c r="H475" i="22"/>
  <c r="I475" i="22"/>
  <c r="J475" i="22"/>
  <c r="K475" i="22"/>
  <c r="L475" i="22"/>
  <c r="M475" i="22"/>
  <c r="N475" i="22"/>
  <c r="O475" i="22"/>
  <c r="P475" i="22"/>
  <c r="Q475" i="22"/>
  <c r="R475" i="22"/>
  <c r="S475" i="22"/>
  <c r="T475" i="22"/>
  <c r="U475" i="22"/>
  <c r="V475" i="22"/>
  <c r="W475" i="22"/>
  <c r="X475" i="22"/>
  <c r="Y475" i="22"/>
  <c r="Z475" i="22"/>
  <c r="AA475" i="22"/>
  <c r="AB475" i="22"/>
  <c r="AC475" i="22"/>
  <c r="AD475" i="22"/>
  <c r="AE475" i="22"/>
  <c r="AF475" i="22"/>
  <c r="AG475" i="22"/>
  <c r="AH475" i="22"/>
  <c r="AI475" i="22"/>
  <c r="AJ475" i="22"/>
  <c r="AK475" i="22"/>
  <c r="AL475" i="22"/>
  <c r="AM475" i="22"/>
  <c r="AN475" i="22"/>
  <c r="AO475" i="22"/>
  <c r="AP475" i="22"/>
  <c r="AQ475" i="22"/>
  <c r="AR475" i="22"/>
  <c r="AS475" i="22"/>
  <c r="AT475" i="22"/>
  <c r="AU475" i="22"/>
  <c r="AV475" i="22"/>
  <c r="AW475" i="22"/>
  <c r="AX475" i="22"/>
  <c r="AY475" i="22"/>
  <c r="AZ475" i="22"/>
  <c r="BA475" i="22"/>
  <c r="BB475" i="22"/>
  <c r="BC475" i="22"/>
  <c r="BD475" i="22"/>
  <c r="BE475" i="22"/>
  <c r="BF475" i="22"/>
  <c r="BG475" i="22"/>
  <c r="BH475" i="22"/>
  <c r="BI475" i="22"/>
  <c r="BJ475" i="22"/>
  <c r="BK475" i="22"/>
  <c r="BL475" i="22"/>
  <c r="BM475" i="22"/>
  <c r="BN475" i="22"/>
  <c r="BO475" i="22"/>
  <c r="BP475" i="22"/>
  <c r="BQ475" i="22"/>
  <c r="BR475" i="22"/>
  <c r="BS475" i="22"/>
  <c r="BT475" i="22"/>
  <c r="BU475" i="22"/>
  <c r="BV475" i="22"/>
  <c r="BW475" i="22"/>
  <c r="BX475" i="22"/>
  <c r="BY475" i="22"/>
  <c r="BZ475" i="22"/>
  <c r="CA475" i="22"/>
  <c r="CB475" i="22"/>
  <c r="A476" i="22"/>
  <c r="B476" i="22"/>
  <c r="C476" i="22"/>
  <c r="D476" i="22"/>
  <c r="E476" i="22"/>
  <c r="F476" i="22"/>
  <c r="G476" i="22"/>
  <c r="H476" i="22"/>
  <c r="I476" i="22"/>
  <c r="J476" i="22"/>
  <c r="K476" i="22"/>
  <c r="L476" i="22"/>
  <c r="M476" i="22"/>
  <c r="N476" i="22"/>
  <c r="O476" i="22"/>
  <c r="P476" i="22"/>
  <c r="Q476" i="22"/>
  <c r="R476" i="22"/>
  <c r="S476" i="22"/>
  <c r="T476" i="22"/>
  <c r="U476" i="22"/>
  <c r="V476" i="22"/>
  <c r="W476" i="22"/>
  <c r="X476" i="22"/>
  <c r="Y476" i="22"/>
  <c r="Z476" i="22"/>
  <c r="AA476" i="22"/>
  <c r="AB476" i="22"/>
  <c r="AC476" i="22"/>
  <c r="AD476" i="22"/>
  <c r="AE476" i="22"/>
  <c r="AF476" i="22"/>
  <c r="AG476" i="22"/>
  <c r="AH476" i="22"/>
  <c r="AI476" i="22"/>
  <c r="AJ476" i="22"/>
  <c r="AK476" i="22"/>
  <c r="AL476" i="22"/>
  <c r="AM476" i="22"/>
  <c r="AN476" i="22"/>
  <c r="AO476" i="22"/>
  <c r="AP476" i="22"/>
  <c r="AQ476" i="22"/>
  <c r="AR476" i="22"/>
  <c r="AS476" i="22"/>
  <c r="AT476" i="22"/>
  <c r="AU476" i="22"/>
  <c r="AV476" i="22"/>
  <c r="AW476" i="22"/>
  <c r="AX476" i="22"/>
  <c r="AY476" i="22"/>
  <c r="AZ476" i="22"/>
  <c r="BA476" i="22"/>
  <c r="BB476" i="22"/>
  <c r="BC476" i="22"/>
  <c r="BD476" i="22"/>
  <c r="BE476" i="22"/>
  <c r="BF476" i="22"/>
  <c r="BG476" i="22"/>
  <c r="BH476" i="22"/>
  <c r="BI476" i="22"/>
  <c r="BJ476" i="22"/>
  <c r="BK476" i="22"/>
  <c r="BL476" i="22"/>
  <c r="BM476" i="22"/>
  <c r="BN476" i="22"/>
  <c r="BO476" i="22"/>
  <c r="BP476" i="22"/>
  <c r="BQ476" i="22"/>
  <c r="BR476" i="22"/>
  <c r="BS476" i="22"/>
  <c r="BT476" i="22"/>
  <c r="BU476" i="22"/>
  <c r="BV476" i="22"/>
  <c r="BW476" i="22"/>
  <c r="BX476" i="22"/>
  <c r="BY476" i="22"/>
  <c r="BZ476" i="22"/>
  <c r="CA476" i="22"/>
  <c r="CB476" i="22"/>
  <c r="A477" i="22"/>
  <c r="B477" i="22"/>
  <c r="C477" i="22"/>
  <c r="D477" i="22"/>
  <c r="E477" i="22"/>
  <c r="F477" i="22"/>
  <c r="G477" i="22"/>
  <c r="H477" i="22"/>
  <c r="I477" i="22"/>
  <c r="J477" i="22"/>
  <c r="K477" i="22"/>
  <c r="L477" i="22"/>
  <c r="M477" i="22"/>
  <c r="N477" i="22"/>
  <c r="O477" i="22"/>
  <c r="P477" i="22"/>
  <c r="Q477" i="22"/>
  <c r="R477" i="22"/>
  <c r="S477" i="22"/>
  <c r="T477" i="22"/>
  <c r="U477" i="22"/>
  <c r="V477" i="22"/>
  <c r="W477" i="22"/>
  <c r="X477" i="22"/>
  <c r="Y477" i="22"/>
  <c r="Z477" i="22"/>
  <c r="AA477" i="22"/>
  <c r="AB477" i="22"/>
  <c r="AC477" i="22"/>
  <c r="AD477" i="22"/>
  <c r="AE477" i="22"/>
  <c r="AF477" i="22"/>
  <c r="AG477" i="22"/>
  <c r="AH477" i="22"/>
  <c r="AI477" i="22"/>
  <c r="AJ477" i="22"/>
  <c r="AK477" i="22"/>
  <c r="AL477" i="22"/>
  <c r="AM477" i="22"/>
  <c r="AN477" i="22"/>
  <c r="AO477" i="22"/>
  <c r="AP477" i="22"/>
  <c r="AQ477" i="22"/>
  <c r="AR477" i="22"/>
  <c r="AS477" i="22"/>
  <c r="AT477" i="22"/>
  <c r="AU477" i="22"/>
  <c r="AV477" i="22"/>
  <c r="AW477" i="22"/>
  <c r="AX477" i="22"/>
  <c r="AY477" i="22"/>
  <c r="AZ477" i="22"/>
  <c r="BA477" i="22"/>
  <c r="BB477" i="22"/>
  <c r="BC477" i="22"/>
  <c r="BD477" i="22"/>
  <c r="BE477" i="22"/>
  <c r="BF477" i="22"/>
  <c r="BG477" i="22"/>
  <c r="BH477" i="22"/>
  <c r="BI477" i="22"/>
  <c r="BJ477" i="22"/>
  <c r="BK477" i="22"/>
  <c r="BL477" i="22"/>
  <c r="BM477" i="22"/>
  <c r="BN477" i="22"/>
  <c r="BO477" i="22"/>
  <c r="BP477" i="22"/>
  <c r="BQ477" i="22"/>
  <c r="BR477" i="22"/>
  <c r="BS477" i="22"/>
  <c r="BT477" i="22"/>
  <c r="BU477" i="22"/>
  <c r="BV477" i="22"/>
  <c r="BW477" i="22"/>
  <c r="BX477" i="22"/>
  <c r="BY477" i="22"/>
  <c r="BZ477" i="22"/>
  <c r="CA477" i="22"/>
  <c r="CB477" i="22"/>
  <c r="A478" i="22"/>
  <c r="B478" i="22"/>
  <c r="C478" i="22"/>
  <c r="D478" i="22"/>
  <c r="E478" i="22"/>
  <c r="F478" i="22"/>
  <c r="G478" i="22"/>
  <c r="H478" i="22"/>
  <c r="I478" i="22"/>
  <c r="J478" i="22"/>
  <c r="K478" i="22"/>
  <c r="L478" i="22"/>
  <c r="M478" i="22"/>
  <c r="N478" i="22"/>
  <c r="O478" i="22"/>
  <c r="P478" i="22"/>
  <c r="Q478" i="22"/>
  <c r="R478" i="22"/>
  <c r="S478" i="22"/>
  <c r="T478" i="22"/>
  <c r="U478" i="22"/>
  <c r="V478" i="22"/>
  <c r="W478" i="22"/>
  <c r="X478" i="22"/>
  <c r="Y478" i="22"/>
  <c r="Z478" i="22"/>
  <c r="AA478" i="22"/>
  <c r="AB478" i="22"/>
  <c r="AC478" i="22"/>
  <c r="AD478" i="22"/>
  <c r="AE478" i="22"/>
  <c r="AF478" i="22"/>
  <c r="AG478" i="22"/>
  <c r="AH478" i="22"/>
  <c r="AI478" i="22"/>
  <c r="AJ478" i="22"/>
  <c r="AK478" i="22"/>
  <c r="AL478" i="22"/>
  <c r="AM478" i="22"/>
  <c r="AN478" i="22"/>
  <c r="AO478" i="22"/>
  <c r="AP478" i="22"/>
  <c r="AQ478" i="22"/>
  <c r="AR478" i="22"/>
  <c r="AS478" i="22"/>
  <c r="AT478" i="22"/>
  <c r="AU478" i="22"/>
  <c r="AV478" i="22"/>
  <c r="AW478" i="22"/>
  <c r="AX478" i="22"/>
  <c r="AY478" i="22"/>
  <c r="AZ478" i="22"/>
  <c r="BA478" i="22"/>
  <c r="BB478" i="22"/>
  <c r="BC478" i="22"/>
  <c r="BD478" i="22"/>
  <c r="BE478" i="22"/>
  <c r="BF478" i="22"/>
  <c r="BG478" i="22"/>
  <c r="BH478" i="22"/>
  <c r="BI478" i="22"/>
  <c r="BJ478" i="22"/>
  <c r="BK478" i="22"/>
  <c r="BL478" i="22"/>
  <c r="BM478" i="22"/>
  <c r="BN478" i="22"/>
  <c r="BO478" i="22"/>
  <c r="BP478" i="22"/>
  <c r="BQ478" i="22"/>
  <c r="BR478" i="22"/>
  <c r="BS478" i="22"/>
  <c r="BT478" i="22"/>
  <c r="BU478" i="22"/>
  <c r="BV478" i="22"/>
  <c r="BW478" i="22"/>
  <c r="BX478" i="22"/>
  <c r="BY478" i="22"/>
  <c r="BZ478" i="22"/>
  <c r="CA478" i="22"/>
  <c r="CB478" i="22"/>
  <c r="A479" i="22"/>
  <c r="B479" i="22"/>
  <c r="C479" i="22"/>
  <c r="D479" i="22"/>
  <c r="E479" i="22"/>
  <c r="F479" i="22"/>
  <c r="G479" i="22"/>
  <c r="H479" i="22"/>
  <c r="I479" i="22"/>
  <c r="J479" i="22"/>
  <c r="K479" i="22"/>
  <c r="L479" i="22"/>
  <c r="M479" i="22"/>
  <c r="N479" i="22"/>
  <c r="O479" i="22"/>
  <c r="P479" i="22"/>
  <c r="Q479" i="22"/>
  <c r="R479" i="22"/>
  <c r="S479" i="22"/>
  <c r="T479" i="22"/>
  <c r="U479" i="22"/>
  <c r="V479" i="22"/>
  <c r="W479" i="22"/>
  <c r="X479" i="22"/>
  <c r="Y479" i="22"/>
  <c r="Z479" i="22"/>
  <c r="AA479" i="22"/>
  <c r="AB479" i="22"/>
  <c r="AC479" i="22"/>
  <c r="AD479" i="22"/>
  <c r="AE479" i="22"/>
  <c r="AF479" i="22"/>
  <c r="AG479" i="22"/>
  <c r="AH479" i="22"/>
  <c r="AI479" i="22"/>
  <c r="AJ479" i="22"/>
  <c r="AK479" i="22"/>
  <c r="AL479" i="22"/>
  <c r="AM479" i="22"/>
  <c r="AN479" i="22"/>
  <c r="AO479" i="22"/>
  <c r="AP479" i="22"/>
  <c r="AQ479" i="22"/>
  <c r="AR479" i="22"/>
  <c r="AS479" i="22"/>
  <c r="AT479" i="22"/>
  <c r="AU479" i="22"/>
  <c r="AV479" i="22"/>
  <c r="AW479" i="22"/>
  <c r="AX479" i="22"/>
  <c r="AY479" i="22"/>
  <c r="AZ479" i="22"/>
  <c r="BA479" i="22"/>
  <c r="BB479" i="22"/>
  <c r="BC479" i="22"/>
  <c r="BD479" i="22"/>
  <c r="BE479" i="22"/>
  <c r="BF479" i="22"/>
  <c r="BG479" i="22"/>
  <c r="BH479" i="22"/>
  <c r="BI479" i="22"/>
  <c r="BJ479" i="22"/>
  <c r="BK479" i="22"/>
  <c r="BL479" i="22"/>
  <c r="BM479" i="22"/>
  <c r="BN479" i="22"/>
  <c r="BO479" i="22"/>
  <c r="BP479" i="22"/>
  <c r="BQ479" i="22"/>
  <c r="BR479" i="22"/>
  <c r="BS479" i="22"/>
  <c r="BT479" i="22"/>
  <c r="BU479" i="22"/>
  <c r="BV479" i="22"/>
  <c r="BW479" i="22"/>
  <c r="BX479" i="22"/>
  <c r="BY479" i="22"/>
  <c r="BZ479" i="22"/>
  <c r="CA479" i="22"/>
  <c r="CB479" i="22"/>
  <c r="A480" i="22"/>
  <c r="B480" i="22"/>
  <c r="C480" i="22"/>
  <c r="D480" i="22"/>
  <c r="E480" i="22"/>
  <c r="F480" i="22"/>
  <c r="G480" i="22"/>
  <c r="H480" i="22"/>
  <c r="I480" i="22"/>
  <c r="J480" i="22"/>
  <c r="K480" i="22"/>
  <c r="L480" i="22"/>
  <c r="M480" i="22"/>
  <c r="N480" i="22"/>
  <c r="O480" i="22"/>
  <c r="P480" i="22"/>
  <c r="Q480" i="22"/>
  <c r="R480" i="22"/>
  <c r="S480" i="22"/>
  <c r="T480" i="22"/>
  <c r="U480" i="22"/>
  <c r="V480" i="22"/>
  <c r="W480" i="22"/>
  <c r="X480" i="22"/>
  <c r="Y480" i="22"/>
  <c r="Z480" i="22"/>
  <c r="AA480" i="22"/>
  <c r="AB480" i="22"/>
  <c r="AC480" i="22"/>
  <c r="AD480" i="22"/>
  <c r="AE480" i="22"/>
  <c r="AF480" i="22"/>
  <c r="AG480" i="22"/>
  <c r="AH480" i="22"/>
  <c r="AI480" i="22"/>
  <c r="AJ480" i="22"/>
  <c r="AK480" i="22"/>
  <c r="AL480" i="22"/>
  <c r="AM480" i="22"/>
  <c r="AN480" i="22"/>
  <c r="AO480" i="22"/>
  <c r="AP480" i="22"/>
  <c r="AQ480" i="22"/>
  <c r="AR480" i="22"/>
  <c r="AS480" i="22"/>
  <c r="AT480" i="22"/>
  <c r="AU480" i="22"/>
  <c r="AV480" i="22"/>
  <c r="AW480" i="22"/>
  <c r="AX480" i="22"/>
  <c r="AY480" i="22"/>
  <c r="AZ480" i="22"/>
  <c r="BA480" i="22"/>
  <c r="BB480" i="22"/>
  <c r="BC480" i="22"/>
  <c r="BD480" i="22"/>
  <c r="BE480" i="22"/>
  <c r="BF480" i="22"/>
  <c r="BG480" i="22"/>
  <c r="BH480" i="22"/>
  <c r="BI480" i="22"/>
  <c r="BJ480" i="22"/>
  <c r="BK480" i="22"/>
  <c r="BL480" i="22"/>
  <c r="BM480" i="22"/>
  <c r="BN480" i="22"/>
  <c r="BO480" i="22"/>
  <c r="BP480" i="22"/>
  <c r="BQ480" i="22"/>
  <c r="BR480" i="22"/>
  <c r="BS480" i="22"/>
  <c r="BT480" i="22"/>
  <c r="BU480" i="22"/>
  <c r="BV480" i="22"/>
  <c r="BW480" i="22"/>
  <c r="BX480" i="22"/>
  <c r="BY480" i="22"/>
  <c r="BZ480" i="22"/>
  <c r="CA480" i="22"/>
  <c r="CB480" i="22"/>
  <c r="A481" i="22"/>
  <c r="B481" i="22"/>
  <c r="C481" i="22"/>
  <c r="D481" i="22"/>
  <c r="E481" i="22"/>
  <c r="F481" i="22"/>
  <c r="G481" i="22"/>
  <c r="H481" i="22"/>
  <c r="I481" i="22"/>
  <c r="J481" i="22"/>
  <c r="K481" i="22"/>
  <c r="L481" i="22"/>
  <c r="M481" i="22"/>
  <c r="N481" i="22"/>
  <c r="O481" i="22"/>
  <c r="P481" i="22"/>
  <c r="Q481" i="22"/>
  <c r="R481" i="22"/>
  <c r="S481" i="22"/>
  <c r="T481" i="22"/>
  <c r="U481" i="22"/>
  <c r="V481" i="22"/>
  <c r="W481" i="22"/>
  <c r="X481" i="22"/>
  <c r="Y481" i="22"/>
  <c r="Z481" i="22"/>
  <c r="AA481" i="22"/>
  <c r="AB481" i="22"/>
  <c r="AC481" i="22"/>
  <c r="AD481" i="22"/>
  <c r="AE481" i="22"/>
  <c r="AF481" i="22"/>
  <c r="AG481" i="22"/>
  <c r="AH481" i="22"/>
  <c r="AI481" i="22"/>
  <c r="AJ481" i="22"/>
  <c r="AK481" i="22"/>
  <c r="AL481" i="22"/>
  <c r="AM481" i="22"/>
  <c r="AN481" i="22"/>
  <c r="AO481" i="22"/>
  <c r="AP481" i="22"/>
  <c r="AQ481" i="22"/>
  <c r="AR481" i="22"/>
  <c r="AS481" i="22"/>
  <c r="AT481" i="22"/>
  <c r="AU481" i="22"/>
  <c r="AV481" i="22"/>
  <c r="AW481" i="22"/>
  <c r="AX481" i="22"/>
  <c r="AY481" i="22"/>
  <c r="AZ481" i="22"/>
  <c r="BA481" i="22"/>
  <c r="BB481" i="22"/>
  <c r="BC481" i="22"/>
  <c r="BD481" i="22"/>
  <c r="BE481" i="22"/>
  <c r="BF481" i="22"/>
  <c r="BG481" i="22"/>
  <c r="BH481" i="22"/>
  <c r="BI481" i="22"/>
  <c r="BJ481" i="22"/>
  <c r="BK481" i="22"/>
  <c r="BL481" i="22"/>
  <c r="BM481" i="22"/>
  <c r="BN481" i="22"/>
  <c r="BO481" i="22"/>
  <c r="BP481" i="22"/>
  <c r="BQ481" i="22"/>
  <c r="BR481" i="22"/>
  <c r="BS481" i="22"/>
  <c r="BT481" i="22"/>
  <c r="BU481" i="22"/>
  <c r="BV481" i="22"/>
  <c r="BW481" i="22"/>
  <c r="BX481" i="22"/>
  <c r="BY481" i="22"/>
  <c r="BZ481" i="22"/>
  <c r="CA481" i="22"/>
  <c r="CB481" i="22"/>
  <c r="A482" i="22"/>
  <c r="B482" i="22"/>
  <c r="C482" i="22"/>
  <c r="D482" i="22"/>
  <c r="E482" i="22"/>
  <c r="F482" i="22"/>
  <c r="G482" i="22"/>
  <c r="H482" i="22"/>
  <c r="I482" i="22"/>
  <c r="J482" i="22"/>
  <c r="K482" i="22"/>
  <c r="L482" i="22"/>
  <c r="M482" i="22"/>
  <c r="N482" i="22"/>
  <c r="O482" i="22"/>
  <c r="P482" i="22"/>
  <c r="Q482" i="22"/>
  <c r="R482" i="22"/>
  <c r="S482" i="22"/>
  <c r="T482" i="22"/>
  <c r="U482" i="22"/>
  <c r="V482" i="22"/>
  <c r="W482" i="22"/>
  <c r="X482" i="22"/>
  <c r="Y482" i="22"/>
  <c r="Z482" i="22"/>
  <c r="AA482" i="22"/>
  <c r="AB482" i="22"/>
  <c r="AC482" i="22"/>
  <c r="AD482" i="22"/>
  <c r="AE482" i="22"/>
  <c r="AF482" i="22"/>
  <c r="AG482" i="22"/>
  <c r="AH482" i="22"/>
  <c r="AI482" i="22"/>
  <c r="AJ482" i="22"/>
  <c r="AK482" i="22"/>
  <c r="AL482" i="22"/>
  <c r="AM482" i="22"/>
  <c r="AN482" i="22"/>
  <c r="AO482" i="22"/>
  <c r="AP482" i="22"/>
  <c r="AQ482" i="22"/>
  <c r="AR482" i="22"/>
  <c r="AS482" i="22"/>
  <c r="AT482" i="22"/>
  <c r="AU482" i="22"/>
  <c r="AV482" i="22"/>
  <c r="AW482" i="22"/>
  <c r="AX482" i="22"/>
  <c r="AY482" i="22"/>
  <c r="AZ482" i="22"/>
  <c r="BA482" i="22"/>
  <c r="BB482" i="22"/>
  <c r="BC482" i="22"/>
  <c r="BD482" i="22"/>
  <c r="BE482" i="22"/>
  <c r="BF482" i="22"/>
  <c r="BG482" i="22"/>
  <c r="BH482" i="22"/>
  <c r="BI482" i="22"/>
  <c r="BJ482" i="22"/>
  <c r="BK482" i="22"/>
  <c r="BL482" i="22"/>
  <c r="BM482" i="22"/>
  <c r="BN482" i="22"/>
  <c r="BO482" i="22"/>
  <c r="BP482" i="22"/>
  <c r="BQ482" i="22"/>
  <c r="BR482" i="22"/>
  <c r="BS482" i="22"/>
  <c r="BT482" i="22"/>
  <c r="BU482" i="22"/>
  <c r="BV482" i="22"/>
  <c r="BW482" i="22"/>
  <c r="BX482" i="22"/>
  <c r="BY482" i="22"/>
  <c r="BZ482" i="22"/>
  <c r="CA482" i="22"/>
  <c r="CB482" i="22"/>
  <c r="A483" i="22"/>
  <c r="B483" i="22"/>
  <c r="C483" i="22"/>
  <c r="D483" i="22"/>
  <c r="E483" i="22"/>
  <c r="F483" i="22"/>
  <c r="G483" i="22"/>
  <c r="H483" i="22"/>
  <c r="I483" i="22"/>
  <c r="J483" i="22"/>
  <c r="K483" i="22"/>
  <c r="L483" i="22"/>
  <c r="M483" i="22"/>
  <c r="N483" i="22"/>
  <c r="O483" i="22"/>
  <c r="P483" i="22"/>
  <c r="Q483" i="22"/>
  <c r="R483" i="22"/>
  <c r="S483" i="22"/>
  <c r="T483" i="22"/>
  <c r="U483" i="22"/>
  <c r="V483" i="22"/>
  <c r="W483" i="22"/>
  <c r="X483" i="22"/>
  <c r="Y483" i="22"/>
  <c r="Z483" i="22"/>
  <c r="AA483" i="22"/>
  <c r="AB483" i="22"/>
  <c r="AC483" i="22"/>
  <c r="AD483" i="22"/>
  <c r="AE483" i="22"/>
  <c r="AF483" i="22"/>
  <c r="AG483" i="22"/>
  <c r="AH483" i="22"/>
  <c r="AI483" i="22"/>
  <c r="AJ483" i="22"/>
  <c r="AK483" i="22"/>
  <c r="AL483" i="22"/>
  <c r="AM483" i="22"/>
  <c r="AN483" i="22"/>
  <c r="AO483" i="22"/>
  <c r="AP483" i="22"/>
  <c r="AQ483" i="22"/>
  <c r="AR483" i="22"/>
  <c r="AS483" i="22"/>
  <c r="AT483" i="22"/>
  <c r="AU483" i="22"/>
  <c r="AV483" i="22"/>
  <c r="AW483" i="22"/>
  <c r="AX483" i="22"/>
  <c r="AY483" i="22"/>
  <c r="AZ483" i="22"/>
  <c r="BA483" i="22"/>
  <c r="BB483" i="22"/>
  <c r="BC483" i="22"/>
  <c r="BD483" i="22"/>
  <c r="BE483" i="22"/>
  <c r="BF483" i="22"/>
  <c r="BG483" i="22"/>
  <c r="BH483" i="22"/>
  <c r="BI483" i="22"/>
  <c r="BJ483" i="22"/>
  <c r="BK483" i="22"/>
  <c r="BL483" i="22"/>
  <c r="BM483" i="22"/>
  <c r="BN483" i="22"/>
  <c r="BO483" i="22"/>
  <c r="BP483" i="22"/>
  <c r="BQ483" i="22"/>
  <c r="BR483" i="22"/>
  <c r="BS483" i="22"/>
  <c r="BT483" i="22"/>
  <c r="BU483" i="22"/>
  <c r="BV483" i="22"/>
  <c r="BW483" i="22"/>
  <c r="BX483" i="22"/>
  <c r="BY483" i="22"/>
  <c r="BZ483" i="22"/>
  <c r="CA483" i="22"/>
  <c r="CB483" i="22"/>
  <c r="A484" i="22"/>
  <c r="B484" i="22"/>
  <c r="C484" i="22"/>
  <c r="D484" i="22"/>
  <c r="E484" i="22"/>
  <c r="F484" i="22"/>
  <c r="G484" i="22"/>
  <c r="H484" i="22"/>
  <c r="I484" i="22"/>
  <c r="J484" i="22"/>
  <c r="K484" i="22"/>
  <c r="L484" i="22"/>
  <c r="M484" i="22"/>
  <c r="N484" i="22"/>
  <c r="O484" i="22"/>
  <c r="P484" i="22"/>
  <c r="Q484" i="22"/>
  <c r="R484" i="22"/>
  <c r="S484" i="22"/>
  <c r="T484" i="22"/>
  <c r="U484" i="22"/>
  <c r="V484" i="22"/>
  <c r="W484" i="22"/>
  <c r="X484" i="22"/>
  <c r="Y484" i="22"/>
  <c r="Z484" i="22"/>
  <c r="AA484" i="22"/>
  <c r="AB484" i="22"/>
  <c r="AC484" i="22"/>
  <c r="AD484" i="22"/>
  <c r="AE484" i="22"/>
  <c r="AF484" i="22"/>
  <c r="AG484" i="22"/>
  <c r="AH484" i="22"/>
  <c r="AI484" i="22"/>
  <c r="AJ484" i="22"/>
  <c r="AK484" i="22"/>
  <c r="AL484" i="22"/>
  <c r="AM484" i="22"/>
  <c r="AN484" i="22"/>
  <c r="AO484" i="22"/>
  <c r="AP484" i="22"/>
  <c r="AQ484" i="22"/>
  <c r="AR484" i="22"/>
  <c r="AS484" i="22"/>
  <c r="AT484" i="22"/>
  <c r="AU484" i="22"/>
  <c r="AV484" i="22"/>
  <c r="AW484" i="22"/>
  <c r="AX484" i="22"/>
  <c r="AY484" i="22"/>
  <c r="AZ484" i="22"/>
  <c r="BA484" i="22"/>
  <c r="BB484" i="22"/>
  <c r="BC484" i="22"/>
  <c r="BD484" i="22"/>
  <c r="BE484" i="22"/>
  <c r="BF484" i="22"/>
  <c r="BG484" i="22"/>
  <c r="BH484" i="22"/>
  <c r="BI484" i="22"/>
  <c r="BJ484" i="22"/>
  <c r="BK484" i="22"/>
  <c r="BL484" i="22"/>
  <c r="BM484" i="22"/>
  <c r="BN484" i="22"/>
  <c r="BO484" i="22"/>
  <c r="BP484" i="22"/>
  <c r="BQ484" i="22"/>
  <c r="BR484" i="22"/>
  <c r="BS484" i="22"/>
  <c r="BT484" i="22"/>
  <c r="BU484" i="22"/>
  <c r="BV484" i="22"/>
  <c r="BW484" i="22"/>
  <c r="BX484" i="22"/>
  <c r="BY484" i="22"/>
  <c r="BZ484" i="22"/>
  <c r="CA484" i="22"/>
  <c r="CB484" i="22"/>
  <c r="A485" i="22"/>
  <c r="B485" i="22"/>
  <c r="C485" i="22"/>
  <c r="D485" i="22"/>
  <c r="E485" i="22"/>
  <c r="F485" i="22"/>
  <c r="G485" i="22"/>
  <c r="H485" i="22"/>
  <c r="I485" i="22"/>
  <c r="J485" i="22"/>
  <c r="K485" i="22"/>
  <c r="L485" i="22"/>
  <c r="M485" i="22"/>
  <c r="N485" i="22"/>
  <c r="O485" i="22"/>
  <c r="P485" i="22"/>
  <c r="Q485" i="22"/>
  <c r="R485" i="22"/>
  <c r="S485" i="22"/>
  <c r="T485" i="22"/>
  <c r="U485" i="22"/>
  <c r="V485" i="22"/>
  <c r="W485" i="22"/>
  <c r="X485" i="22"/>
  <c r="Y485" i="22"/>
  <c r="Z485" i="22"/>
  <c r="AA485" i="22"/>
  <c r="AB485" i="22"/>
  <c r="AC485" i="22"/>
  <c r="AD485" i="22"/>
  <c r="AE485" i="22"/>
  <c r="AF485" i="22"/>
  <c r="AG485" i="22"/>
  <c r="AH485" i="22"/>
  <c r="AI485" i="22"/>
  <c r="AJ485" i="22"/>
  <c r="AK485" i="22"/>
  <c r="AL485" i="22"/>
  <c r="AM485" i="22"/>
  <c r="AN485" i="22"/>
  <c r="AO485" i="22"/>
  <c r="AP485" i="22"/>
  <c r="AQ485" i="22"/>
  <c r="AR485" i="22"/>
  <c r="AS485" i="22"/>
  <c r="AT485" i="22"/>
  <c r="AU485" i="22"/>
  <c r="AV485" i="22"/>
  <c r="AW485" i="22"/>
  <c r="AX485" i="22"/>
  <c r="AY485" i="22"/>
  <c r="AZ485" i="22"/>
  <c r="BA485" i="22"/>
  <c r="BB485" i="22"/>
  <c r="BC485" i="22"/>
  <c r="BD485" i="22"/>
  <c r="BE485" i="22"/>
  <c r="BF485" i="22"/>
  <c r="BG485" i="22"/>
  <c r="BH485" i="22"/>
  <c r="BI485" i="22"/>
  <c r="BJ485" i="22"/>
  <c r="BK485" i="22"/>
  <c r="BL485" i="22"/>
  <c r="BM485" i="22"/>
  <c r="BN485" i="22"/>
  <c r="BO485" i="22"/>
  <c r="BP485" i="22"/>
  <c r="BQ485" i="22"/>
  <c r="BR485" i="22"/>
  <c r="BS485" i="22"/>
  <c r="BT485" i="22"/>
  <c r="BU485" i="22"/>
  <c r="BV485" i="22"/>
  <c r="BW485" i="22"/>
  <c r="BX485" i="22"/>
  <c r="BY485" i="22"/>
  <c r="BZ485" i="22"/>
  <c r="CA485" i="22"/>
  <c r="CB485" i="22"/>
  <c r="A486" i="22"/>
  <c r="B486" i="22"/>
  <c r="C486" i="22"/>
  <c r="D486" i="22"/>
  <c r="E486" i="22"/>
  <c r="F486" i="22"/>
  <c r="G486" i="22"/>
  <c r="H486" i="22"/>
  <c r="I486" i="22"/>
  <c r="J486" i="22"/>
  <c r="K486" i="22"/>
  <c r="L486" i="22"/>
  <c r="M486" i="22"/>
  <c r="N486" i="22"/>
  <c r="O486" i="22"/>
  <c r="P486" i="22"/>
  <c r="Q486" i="22"/>
  <c r="R486" i="22"/>
  <c r="S486" i="22"/>
  <c r="T486" i="22"/>
  <c r="U486" i="22"/>
  <c r="V486" i="22"/>
  <c r="W486" i="22"/>
  <c r="X486" i="22"/>
  <c r="Y486" i="22"/>
  <c r="Z486" i="22"/>
  <c r="AA486" i="22"/>
  <c r="AB486" i="22"/>
  <c r="AC486" i="22"/>
  <c r="AD486" i="22"/>
  <c r="AE486" i="22"/>
  <c r="AF486" i="22"/>
  <c r="AG486" i="22"/>
  <c r="AH486" i="22"/>
  <c r="AI486" i="22"/>
  <c r="AJ486" i="22"/>
  <c r="AK486" i="22"/>
  <c r="AL486" i="22"/>
  <c r="AM486" i="22"/>
  <c r="AN486" i="22"/>
  <c r="AO486" i="22"/>
  <c r="AP486" i="22"/>
  <c r="AQ486" i="22"/>
  <c r="AR486" i="22"/>
  <c r="AS486" i="22"/>
  <c r="AT486" i="22"/>
  <c r="AU486" i="22"/>
  <c r="AV486" i="22"/>
  <c r="AW486" i="22"/>
  <c r="AX486" i="22"/>
  <c r="AY486" i="22"/>
  <c r="AZ486" i="22"/>
  <c r="BA486" i="22"/>
  <c r="BB486" i="22"/>
  <c r="BC486" i="22"/>
  <c r="BD486" i="22"/>
  <c r="BE486" i="22"/>
  <c r="BF486" i="22"/>
  <c r="BG486" i="22"/>
  <c r="BH486" i="22"/>
  <c r="BI486" i="22"/>
  <c r="BJ486" i="22"/>
  <c r="BK486" i="22"/>
  <c r="BL486" i="22"/>
  <c r="BM486" i="22"/>
  <c r="BN486" i="22"/>
  <c r="BO486" i="22"/>
  <c r="BP486" i="22"/>
  <c r="BQ486" i="22"/>
  <c r="BR486" i="22"/>
  <c r="BS486" i="22"/>
  <c r="BT486" i="22"/>
  <c r="BU486" i="22"/>
  <c r="BV486" i="22"/>
  <c r="BW486" i="22"/>
  <c r="BX486" i="22"/>
  <c r="BY486" i="22"/>
  <c r="BZ486" i="22"/>
  <c r="CA486" i="22"/>
  <c r="CB486" i="22"/>
  <c r="A487" i="22"/>
  <c r="B487" i="22"/>
  <c r="C487" i="22"/>
  <c r="D487" i="22"/>
  <c r="E487" i="22"/>
  <c r="F487" i="22"/>
  <c r="G487" i="22"/>
  <c r="H487" i="22"/>
  <c r="I487" i="22"/>
  <c r="J487" i="22"/>
  <c r="K487" i="22"/>
  <c r="L487" i="22"/>
  <c r="M487" i="22"/>
  <c r="N487" i="22"/>
  <c r="O487" i="22"/>
  <c r="P487" i="22"/>
  <c r="Q487" i="22"/>
  <c r="R487" i="22"/>
  <c r="S487" i="22"/>
  <c r="T487" i="22"/>
  <c r="U487" i="22"/>
  <c r="V487" i="22"/>
  <c r="W487" i="22"/>
  <c r="X487" i="22"/>
  <c r="Y487" i="22"/>
  <c r="Z487" i="22"/>
  <c r="AA487" i="22"/>
  <c r="AB487" i="22"/>
  <c r="AC487" i="22"/>
  <c r="AD487" i="22"/>
  <c r="AE487" i="22"/>
  <c r="AF487" i="22"/>
  <c r="AG487" i="22"/>
  <c r="AH487" i="22"/>
  <c r="AI487" i="22"/>
  <c r="AJ487" i="22"/>
  <c r="AK487" i="22"/>
  <c r="AL487" i="22"/>
  <c r="AM487" i="22"/>
  <c r="AN487" i="22"/>
  <c r="AO487" i="22"/>
  <c r="AP487" i="22"/>
  <c r="AQ487" i="22"/>
  <c r="AR487" i="22"/>
  <c r="AS487" i="22"/>
  <c r="AT487" i="22"/>
  <c r="AU487" i="22"/>
  <c r="AV487" i="22"/>
  <c r="AW487" i="22"/>
  <c r="AX487" i="22"/>
  <c r="AY487" i="22"/>
  <c r="AZ487" i="22"/>
  <c r="BA487" i="22"/>
  <c r="BB487" i="22"/>
  <c r="BC487" i="22"/>
  <c r="BD487" i="22"/>
  <c r="BE487" i="22"/>
  <c r="BF487" i="22"/>
  <c r="BG487" i="22"/>
  <c r="BH487" i="22"/>
  <c r="BI487" i="22"/>
  <c r="BJ487" i="22"/>
  <c r="BK487" i="22"/>
  <c r="BL487" i="22"/>
  <c r="BM487" i="22"/>
  <c r="BN487" i="22"/>
  <c r="BO487" i="22"/>
  <c r="BP487" i="22"/>
  <c r="BQ487" i="22"/>
  <c r="BR487" i="22"/>
  <c r="BS487" i="22"/>
  <c r="BT487" i="22"/>
  <c r="BU487" i="22"/>
  <c r="BV487" i="22"/>
  <c r="BW487" i="22"/>
  <c r="BX487" i="22"/>
  <c r="BY487" i="22"/>
  <c r="BZ487" i="22"/>
  <c r="CA487" i="22"/>
  <c r="CB487" i="22"/>
  <c r="A488" i="22"/>
  <c r="B488" i="22"/>
  <c r="C488" i="22"/>
  <c r="D488" i="22"/>
  <c r="E488" i="22"/>
  <c r="F488" i="22"/>
  <c r="G488" i="22"/>
  <c r="H488" i="22"/>
  <c r="I488" i="22"/>
  <c r="J488" i="22"/>
  <c r="K488" i="22"/>
  <c r="L488" i="22"/>
  <c r="M488" i="22"/>
  <c r="N488" i="22"/>
  <c r="O488" i="22"/>
  <c r="P488" i="22"/>
  <c r="Q488" i="22"/>
  <c r="R488" i="22"/>
  <c r="S488" i="22"/>
  <c r="T488" i="22"/>
  <c r="U488" i="22"/>
  <c r="V488" i="22"/>
  <c r="W488" i="22"/>
  <c r="X488" i="22"/>
  <c r="Y488" i="22"/>
  <c r="Z488" i="22"/>
  <c r="AA488" i="22"/>
  <c r="AB488" i="22"/>
  <c r="AC488" i="22"/>
  <c r="AD488" i="22"/>
  <c r="AE488" i="22"/>
  <c r="AF488" i="22"/>
  <c r="AG488" i="22"/>
  <c r="AH488" i="22"/>
  <c r="AI488" i="22"/>
  <c r="AJ488" i="22"/>
  <c r="AK488" i="22"/>
  <c r="AL488" i="22"/>
  <c r="AM488" i="22"/>
  <c r="AN488" i="22"/>
  <c r="AO488" i="22"/>
  <c r="AP488" i="22"/>
  <c r="AQ488" i="22"/>
  <c r="AR488" i="22"/>
  <c r="AS488" i="22"/>
  <c r="AT488" i="22"/>
  <c r="AU488" i="22"/>
  <c r="AV488" i="22"/>
  <c r="AW488" i="22"/>
  <c r="AX488" i="22"/>
  <c r="AY488" i="22"/>
  <c r="AZ488" i="22"/>
  <c r="BA488" i="22"/>
  <c r="BB488" i="22"/>
  <c r="BC488" i="22"/>
  <c r="BD488" i="22"/>
  <c r="BE488" i="22"/>
  <c r="BF488" i="22"/>
  <c r="BG488" i="22"/>
  <c r="BH488" i="22"/>
  <c r="BI488" i="22"/>
  <c r="BJ488" i="22"/>
  <c r="BK488" i="22"/>
  <c r="BL488" i="22"/>
  <c r="BM488" i="22"/>
  <c r="BN488" i="22"/>
  <c r="BO488" i="22"/>
  <c r="BP488" i="22"/>
  <c r="BQ488" i="22"/>
  <c r="BR488" i="22"/>
  <c r="BS488" i="22"/>
  <c r="BT488" i="22"/>
  <c r="BU488" i="22"/>
  <c r="BV488" i="22"/>
  <c r="BW488" i="22"/>
  <c r="BX488" i="22"/>
  <c r="BY488" i="22"/>
  <c r="BZ488" i="22"/>
  <c r="CA488" i="22"/>
  <c r="CB488" i="22"/>
  <c r="A489" i="22"/>
  <c r="B489" i="22"/>
  <c r="C489" i="22"/>
  <c r="D489" i="22"/>
  <c r="E489" i="22"/>
  <c r="F489" i="22"/>
  <c r="G489" i="22"/>
  <c r="H489" i="22"/>
  <c r="I489" i="22"/>
  <c r="J489" i="22"/>
  <c r="K489" i="22"/>
  <c r="L489" i="22"/>
  <c r="M489" i="22"/>
  <c r="N489" i="22"/>
  <c r="O489" i="22"/>
  <c r="P489" i="22"/>
  <c r="Q489" i="22"/>
  <c r="R489" i="22"/>
  <c r="S489" i="22"/>
  <c r="T489" i="22"/>
  <c r="U489" i="22"/>
  <c r="V489" i="22"/>
  <c r="W489" i="22"/>
  <c r="X489" i="22"/>
  <c r="Y489" i="22"/>
  <c r="Z489" i="22"/>
  <c r="AA489" i="22"/>
  <c r="AB489" i="22"/>
  <c r="AC489" i="22"/>
  <c r="AD489" i="22"/>
  <c r="AE489" i="22"/>
  <c r="AF489" i="22"/>
  <c r="AG489" i="22"/>
  <c r="AH489" i="22"/>
  <c r="AI489" i="22"/>
  <c r="AJ489" i="22"/>
  <c r="AK489" i="22"/>
  <c r="AL489" i="22"/>
  <c r="AM489" i="22"/>
  <c r="AN489" i="22"/>
  <c r="AO489" i="22"/>
  <c r="AP489" i="22"/>
  <c r="AQ489" i="22"/>
  <c r="AR489" i="22"/>
  <c r="AS489" i="22"/>
  <c r="AT489" i="22"/>
  <c r="AU489" i="22"/>
  <c r="AV489" i="22"/>
  <c r="AW489" i="22"/>
  <c r="AX489" i="22"/>
  <c r="AY489" i="22"/>
  <c r="AZ489" i="22"/>
  <c r="BA489" i="22"/>
  <c r="BB489" i="22"/>
  <c r="BC489" i="22"/>
  <c r="BD489" i="22"/>
  <c r="BE489" i="22"/>
  <c r="BF489" i="22"/>
  <c r="BG489" i="22"/>
  <c r="BH489" i="22"/>
  <c r="BI489" i="22"/>
  <c r="BJ489" i="22"/>
  <c r="BK489" i="22"/>
  <c r="BL489" i="22"/>
  <c r="BM489" i="22"/>
  <c r="BN489" i="22"/>
  <c r="BO489" i="22"/>
  <c r="BP489" i="22"/>
  <c r="BQ489" i="22"/>
  <c r="BR489" i="22"/>
  <c r="BS489" i="22"/>
  <c r="BT489" i="22"/>
  <c r="BU489" i="22"/>
  <c r="BV489" i="22"/>
  <c r="BW489" i="22"/>
  <c r="BX489" i="22"/>
  <c r="BY489" i="22"/>
  <c r="BZ489" i="22"/>
  <c r="CA489" i="22"/>
  <c r="CB489" i="22"/>
  <c r="A490" i="22"/>
  <c r="B490" i="22"/>
  <c r="C490" i="22"/>
  <c r="D490" i="22"/>
  <c r="E490" i="22"/>
  <c r="F490" i="22"/>
  <c r="G490" i="22"/>
  <c r="H490" i="22"/>
  <c r="I490" i="22"/>
  <c r="J490" i="22"/>
  <c r="K490" i="22"/>
  <c r="L490" i="22"/>
  <c r="M490" i="22"/>
  <c r="N490" i="22"/>
  <c r="O490" i="22"/>
  <c r="P490" i="22"/>
  <c r="Q490" i="22"/>
  <c r="R490" i="22"/>
  <c r="S490" i="22"/>
  <c r="T490" i="22"/>
  <c r="U490" i="22"/>
  <c r="V490" i="22"/>
  <c r="W490" i="22"/>
  <c r="X490" i="22"/>
  <c r="Y490" i="22"/>
  <c r="Z490" i="22"/>
  <c r="AA490" i="22"/>
  <c r="AB490" i="22"/>
  <c r="AC490" i="22"/>
  <c r="AD490" i="22"/>
  <c r="AE490" i="22"/>
  <c r="AF490" i="22"/>
  <c r="AG490" i="22"/>
  <c r="AH490" i="22"/>
  <c r="AI490" i="22"/>
  <c r="AJ490" i="22"/>
  <c r="AK490" i="22"/>
  <c r="AL490" i="22"/>
  <c r="AM490" i="22"/>
  <c r="AN490" i="22"/>
  <c r="AO490" i="22"/>
  <c r="AP490" i="22"/>
  <c r="AQ490" i="22"/>
  <c r="AR490" i="22"/>
  <c r="AS490" i="22"/>
  <c r="AT490" i="22"/>
  <c r="AU490" i="22"/>
  <c r="AV490" i="22"/>
  <c r="AW490" i="22"/>
  <c r="AX490" i="22"/>
  <c r="AY490" i="22"/>
  <c r="AZ490" i="22"/>
  <c r="BA490" i="22"/>
  <c r="BB490" i="22"/>
  <c r="BC490" i="22"/>
  <c r="BD490" i="22"/>
  <c r="BE490" i="22"/>
  <c r="BF490" i="22"/>
  <c r="BG490" i="22"/>
  <c r="BH490" i="22"/>
  <c r="BI490" i="22"/>
  <c r="BJ490" i="22"/>
  <c r="BK490" i="22"/>
  <c r="BL490" i="22"/>
  <c r="BM490" i="22"/>
  <c r="BN490" i="22"/>
  <c r="BO490" i="22"/>
  <c r="BP490" i="22"/>
  <c r="BQ490" i="22"/>
  <c r="BR490" i="22"/>
  <c r="BS490" i="22"/>
  <c r="BT490" i="22"/>
  <c r="BU490" i="22"/>
  <c r="BV490" i="22"/>
  <c r="BW490" i="22"/>
  <c r="BX490" i="22"/>
  <c r="BY490" i="22"/>
  <c r="BZ490" i="22"/>
  <c r="CA490" i="22"/>
  <c r="CB490" i="22"/>
  <c r="A491" i="22"/>
  <c r="B491" i="22"/>
  <c r="C491" i="22"/>
  <c r="D491" i="22"/>
  <c r="E491" i="22"/>
  <c r="F491" i="22"/>
  <c r="G491" i="22"/>
  <c r="H491" i="22"/>
  <c r="I491" i="22"/>
  <c r="J491" i="22"/>
  <c r="K491" i="22"/>
  <c r="L491" i="22"/>
  <c r="M491" i="22"/>
  <c r="N491" i="22"/>
  <c r="O491" i="22"/>
  <c r="P491" i="22"/>
  <c r="Q491" i="22"/>
  <c r="R491" i="22"/>
  <c r="S491" i="22"/>
  <c r="T491" i="22"/>
  <c r="U491" i="22"/>
  <c r="V491" i="22"/>
  <c r="W491" i="22"/>
  <c r="X491" i="22"/>
  <c r="Y491" i="22"/>
  <c r="Z491" i="22"/>
  <c r="AA491" i="22"/>
  <c r="AB491" i="22"/>
  <c r="AC491" i="22"/>
  <c r="AD491" i="22"/>
  <c r="AE491" i="22"/>
  <c r="AF491" i="22"/>
  <c r="AG491" i="22"/>
  <c r="AH491" i="22"/>
  <c r="AI491" i="22"/>
  <c r="AJ491" i="22"/>
  <c r="AK491" i="22"/>
  <c r="AL491" i="22"/>
  <c r="AM491" i="22"/>
  <c r="AN491" i="22"/>
  <c r="AO491" i="22"/>
  <c r="AP491" i="22"/>
  <c r="AQ491" i="22"/>
  <c r="AR491" i="22"/>
  <c r="AS491" i="22"/>
  <c r="AT491" i="22"/>
  <c r="AU491" i="22"/>
  <c r="AV491" i="22"/>
  <c r="AW491" i="22"/>
  <c r="AX491" i="22"/>
  <c r="AY491" i="22"/>
  <c r="AZ491" i="22"/>
  <c r="BA491" i="22"/>
  <c r="BB491" i="22"/>
  <c r="BC491" i="22"/>
  <c r="BD491" i="22"/>
  <c r="BE491" i="22"/>
  <c r="BF491" i="22"/>
  <c r="BG491" i="22"/>
  <c r="BH491" i="22"/>
  <c r="BI491" i="22"/>
  <c r="BJ491" i="22"/>
  <c r="BK491" i="22"/>
  <c r="BL491" i="22"/>
  <c r="BM491" i="22"/>
  <c r="BN491" i="22"/>
  <c r="BO491" i="22"/>
  <c r="BP491" i="22"/>
  <c r="BQ491" i="22"/>
  <c r="BR491" i="22"/>
  <c r="BS491" i="22"/>
  <c r="BT491" i="22"/>
  <c r="BU491" i="22"/>
  <c r="BV491" i="22"/>
  <c r="BW491" i="22"/>
  <c r="BX491" i="22"/>
  <c r="BY491" i="22"/>
  <c r="BZ491" i="22"/>
  <c r="CA491" i="22"/>
  <c r="CB491" i="22"/>
  <c r="A492" i="22"/>
  <c r="B492" i="22"/>
  <c r="C492" i="22"/>
  <c r="D492" i="22"/>
  <c r="E492" i="22"/>
  <c r="F492" i="22"/>
  <c r="G492" i="22"/>
  <c r="H492" i="22"/>
  <c r="I492" i="22"/>
  <c r="J492" i="22"/>
  <c r="K492" i="22"/>
  <c r="L492" i="22"/>
  <c r="M492" i="22"/>
  <c r="N492" i="22"/>
  <c r="O492" i="22"/>
  <c r="P492" i="22"/>
  <c r="Q492" i="22"/>
  <c r="R492" i="22"/>
  <c r="S492" i="22"/>
  <c r="T492" i="22"/>
  <c r="U492" i="22"/>
  <c r="V492" i="22"/>
  <c r="W492" i="22"/>
  <c r="X492" i="22"/>
  <c r="Y492" i="22"/>
  <c r="Z492" i="22"/>
  <c r="AA492" i="22"/>
  <c r="AB492" i="22"/>
  <c r="AC492" i="22"/>
  <c r="AD492" i="22"/>
  <c r="AE492" i="22"/>
  <c r="AF492" i="22"/>
  <c r="AG492" i="22"/>
  <c r="AH492" i="22"/>
  <c r="AI492" i="22"/>
  <c r="AJ492" i="22"/>
  <c r="AK492" i="22"/>
  <c r="AL492" i="22"/>
  <c r="AM492" i="22"/>
  <c r="AN492" i="22"/>
  <c r="AO492" i="22"/>
  <c r="AP492" i="22"/>
  <c r="AQ492" i="22"/>
  <c r="AR492" i="22"/>
  <c r="AS492" i="22"/>
  <c r="AT492" i="22"/>
  <c r="AU492" i="22"/>
  <c r="AV492" i="22"/>
  <c r="AW492" i="22"/>
  <c r="AX492" i="22"/>
  <c r="AY492" i="22"/>
  <c r="AZ492" i="22"/>
  <c r="BA492" i="22"/>
  <c r="BB492" i="22"/>
  <c r="BC492" i="22"/>
  <c r="BD492" i="22"/>
  <c r="BE492" i="22"/>
  <c r="BF492" i="22"/>
  <c r="BG492" i="22"/>
  <c r="BH492" i="22"/>
  <c r="BI492" i="22"/>
  <c r="BJ492" i="22"/>
  <c r="BK492" i="22"/>
  <c r="BL492" i="22"/>
  <c r="BM492" i="22"/>
  <c r="BN492" i="22"/>
  <c r="BO492" i="22"/>
  <c r="BP492" i="22"/>
  <c r="BQ492" i="22"/>
  <c r="BR492" i="22"/>
  <c r="BS492" i="22"/>
  <c r="BT492" i="22"/>
  <c r="BU492" i="22"/>
  <c r="BV492" i="22"/>
  <c r="BW492" i="22"/>
  <c r="BX492" i="22"/>
  <c r="BY492" i="22"/>
  <c r="BZ492" i="22"/>
  <c r="CA492" i="22"/>
  <c r="CB492" i="22"/>
  <c r="A493" i="22"/>
  <c r="B493" i="22"/>
  <c r="C493" i="22"/>
  <c r="D493" i="22"/>
  <c r="E493" i="22"/>
  <c r="F493" i="22"/>
  <c r="G493" i="22"/>
  <c r="H493" i="22"/>
  <c r="I493" i="22"/>
  <c r="J493" i="22"/>
  <c r="K493" i="22"/>
  <c r="L493" i="22"/>
  <c r="M493" i="22"/>
  <c r="N493" i="22"/>
  <c r="O493" i="22"/>
  <c r="P493" i="22"/>
  <c r="Q493" i="22"/>
  <c r="R493" i="22"/>
  <c r="S493" i="22"/>
  <c r="T493" i="22"/>
  <c r="U493" i="22"/>
  <c r="V493" i="22"/>
  <c r="W493" i="22"/>
  <c r="X493" i="22"/>
  <c r="Y493" i="22"/>
  <c r="Z493" i="22"/>
  <c r="AA493" i="22"/>
  <c r="AB493" i="22"/>
  <c r="AC493" i="22"/>
  <c r="AD493" i="22"/>
  <c r="AE493" i="22"/>
  <c r="AF493" i="22"/>
  <c r="AG493" i="22"/>
  <c r="AH493" i="22"/>
  <c r="AI493" i="22"/>
  <c r="AJ493" i="22"/>
  <c r="AK493" i="22"/>
  <c r="AL493" i="22"/>
  <c r="AM493" i="22"/>
  <c r="AN493" i="22"/>
  <c r="AO493" i="22"/>
  <c r="AP493" i="22"/>
  <c r="AQ493" i="22"/>
  <c r="AR493" i="22"/>
  <c r="AS493" i="22"/>
  <c r="AT493" i="22"/>
  <c r="AU493" i="22"/>
  <c r="AV493" i="22"/>
  <c r="AW493" i="22"/>
  <c r="AX493" i="22"/>
  <c r="AY493" i="22"/>
  <c r="AZ493" i="22"/>
  <c r="BA493" i="22"/>
  <c r="BB493" i="22"/>
  <c r="BC493" i="22"/>
  <c r="BD493" i="22"/>
  <c r="BE493" i="22"/>
  <c r="BF493" i="22"/>
  <c r="BG493" i="22"/>
  <c r="BH493" i="22"/>
  <c r="BI493" i="22"/>
  <c r="BJ493" i="22"/>
  <c r="BK493" i="22"/>
  <c r="BL493" i="22"/>
  <c r="BM493" i="22"/>
  <c r="BN493" i="22"/>
  <c r="BO493" i="22"/>
  <c r="BP493" i="22"/>
  <c r="BQ493" i="22"/>
  <c r="BR493" i="22"/>
  <c r="BS493" i="22"/>
  <c r="BT493" i="22"/>
  <c r="BU493" i="22"/>
  <c r="BV493" i="22"/>
  <c r="BW493" i="22"/>
  <c r="BX493" i="22"/>
  <c r="BY493" i="22"/>
  <c r="BZ493" i="22"/>
  <c r="CA493" i="22"/>
  <c r="CB493" i="22"/>
  <c r="A494" i="22"/>
  <c r="B494" i="22"/>
  <c r="C494" i="22"/>
  <c r="D494" i="22"/>
  <c r="E494" i="22"/>
  <c r="F494" i="22"/>
  <c r="G494" i="22"/>
  <c r="H494" i="22"/>
  <c r="I494" i="22"/>
  <c r="J494" i="22"/>
  <c r="K494" i="22"/>
  <c r="L494" i="22"/>
  <c r="M494" i="22"/>
  <c r="N494" i="22"/>
  <c r="O494" i="22"/>
  <c r="P494" i="22"/>
  <c r="Q494" i="22"/>
  <c r="R494" i="22"/>
  <c r="S494" i="22"/>
  <c r="T494" i="22"/>
  <c r="U494" i="22"/>
  <c r="V494" i="22"/>
  <c r="W494" i="22"/>
  <c r="X494" i="22"/>
  <c r="Y494" i="22"/>
  <c r="Z494" i="22"/>
  <c r="AA494" i="22"/>
  <c r="AB494" i="22"/>
  <c r="AC494" i="22"/>
  <c r="AD494" i="22"/>
  <c r="AE494" i="22"/>
  <c r="AF494" i="22"/>
  <c r="AG494" i="22"/>
  <c r="AH494" i="22"/>
  <c r="AI494" i="22"/>
  <c r="AJ494" i="22"/>
  <c r="AK494" i="22"/>
  <c r="AL494" i="22"/>
  <c r="AM494" i="22"/>
  <c r="AN494" i="22"/>
  <c r="AO494" i="22"/>
  <c r="AP494" i="22"/>
  <c r="AQ494" i="22"/>
  <c r="AR494" i="22"/>
  <c r="AS494" i="22"/>
  <c r="AT494" i="22"/>
  <c r="AU494" i="22"/>
  <c r="AV494" i="22"/>
  <c r="AW494" i="22"/>
  <c r="AX494" i="22"/>
  <c r="AY494" i="22"/>
  <c r="AZ494" i="22"/>
  <c r="BA494" i="22"/>
  <c r="BB494" i="22"/>
  <c r="BC494" i="22"/>
  <c r="BD494" i="22"/>
  <c r="BE494" i="22"/>
  <c r="BF494" i="22"/>
  <c r="BG494" i="22"/>
  <c r="BH494" i="22"/>
  <c r="BI494" i="22"/>
  <c r="BJ494" i="22"/>
  <c r="BK494" i="22"/>
  <c r="BL494" i="22"/>
  <c r="BM494" i="22"/>
  <c r="BN494" i="22"/>
  <c r="BO494" i="22"/>
  <c r="BP494" i="22"/>
  <c r="BQ494" i="22"/>
  <c r="BR494" i="22"/>
  <c r="BS494" i="22"/>
  <c r="BT494" i="22"/>
  <c r="BU494" i="22"/>
  <c r="BV494" i="22"/>
  <c r="BW494" i="22"/>
  <c r="BX494" i="22"/>
  <c r="BY494" i="22"/>
  <c r="BZ494" i="22"/>
  <c r="CA494" i="22"/>
  <c r="CB494" i="22"/>
  <c r="A495" i="22"/>
  <c r="B495" i="22"/>
  <c r="C495" i="22"/>
  <c r="D495" i="22"/>
  <c r="E495" i="22"/>
  <c r="F495" i="22"/>
  <c r="G495" i="22"/>
  <c r="H495" i="22"/>
  <c r="I495" i="22"/>
  <c r="J495" i="22"/>
  <c r="K495" i="22"/>
  <c r="L495" i="22"/>
  <c r="M495" i="22"/>
  <c r="N495" i="22"/>
  <c r="O495" i="22"/>
  <c r="P495" i="22"/>
  <c r="Q495" i="22"/>
  <c r="R495" i="22"/>
  <c r="S495" i="22"/>
  <c r="T495" i="22"/>
  <c r="U495" i="22"/>
  <c r="V495" i="22"/>
  <c r="W495" i="22"/>
  <c r="X495" i="22"/>
  <c r="Y495" i="22"/>
  <c r="Z495" i="22"/>
  <c r="AA495" i="22"/>
  <c r="AB495" i="22"/>
  <c r="AC495" i="22"/>
  <c r="AD495" i="22"/>
  <c r="AE495" i="22"/>
  <c r="AF495" i="22"/>
  <c r="AG495" i="22"/>
  <c r="AH495" i="22"/>
  <c r="AI495" i="22"/>
  <c r="AJ495" i="22"/>
  <c r="AK495" i="22"/>
  <c r="AL495" i="22"/>
  <c r="AM495" i="22"/>
  <c r="AN495" i="22"/>
  <c r="AO495" i="22"/>
  <c r="AP495" i="22"/>
  <c r="AQ495" i="22"/>
  <c r="AR495" i="22"/>
  <c r="AS495" i="22"/>
  <c r="AT495" i="22"/>
  <c r="AU495" i="22"/>
  <c r="AV495" i="22"/>
  <c r="AW495" i="22"/>
  <c r="AX495" i="22"/>
  <c r="AY495" i="22"/>
  <c r="AZ495" i="22"/>
  <c r="BA495" i="22"/>
  <c r="BB495" i="22"/>
  <c r="BC495" i="22"/>
  <c r="BD495" i="22"/>
  <c r="BE495" i="22"/>
  <c r="BF495" i="22"/>
  <c r="BG495" i="22"/>
  <c r="BH495" i="22"/>
  <c r="BI495" i="22"/>
  <c r="BJ495" i="22"/>
  <c r="BK495" i="22"/>
  <c r="BL495" i="22"/>
  <c r="BM495" i="22"/>
  <c r="BN495" i="22"/>
  <c r="BO495" i="22"/>
  <c r="BP495" i="22"/>
  <c r="BQ495" i="22"/>
  <c r="BR495" i="22"/>
  <c r="BS495" i="22"/>
  <c r="BT495" i="22"/>
  <c r="BU495" i="22"/>
  <c r="BV495" i="22"/>
  <c r="BW495" i="22"/>
  <c r="BX495" i="22"/>
  <c r="BY495" i="22"/>
  <c r="BZ495" i="22"/>
  <c r="CA495" i="22"/>
  <c r="CB495" i="22"/>
  <c r="A496" i="22"/>
  <c r="B496" i="22"/>
  <c r="C496" i="22"/>
  <c r="D496" i="22"/>
  <c r="E496" i="22"/>
  <c r="F496" i="22"/>
  <c r="G496" i="22"/>
  <c r="H496" i="22"/>
  <c r="I496" i="22"/>
  <c r="J496" i="22"/>
  <c r="K496" i="22"/>
  <c r="L496" i="22"/>
  <c r="M496" i="22"/>
  <c r="N496" i="22"/>
  <c r="O496" i="22"/>
  <c r="P496" i="22"/>
  <c r="Q496" i="22"/>
  <c r="R496" i="22"/>
  <c r="S496" i="22"/>
  <c r="T496" i="22"/>
  <c r="U496" i="22"/>
  <c r="V496" i="22"/>
  <c r="W496" i="22"/>
  <c r="X496" i="22"/>
  <c r="Y496" i="22"/>
  <c r="Z496" i="22"/>
  <c r="AA496" i="22"/>
  <c r="AB496" i="22"/>
  <c r="AC496" i="22"/>
  <c r="AD496" i="22"/>
  <c r="AE496" i="22"/>
  <c r="AF496" i="22"/>
  <c r="AG496" i="22"/>
  <c r="AH496" i="22"/>
  <c r="AI496" i="22"/>
  <c r="AJ496" i="22"/>
  <c r="AK496" i="22"/>
  <c r="AL496" i="22"/>
  <c r="AM496" i="22"/>
  <c r="AN496" i="22"/>
  <c r="AO496" i="22"/>
  <c r="AP496" i="22"/>
  <c r="AQ496" i="22"/>
  <c r="AR496" i="22"/>
  <c r="AS496" i="22"/>
  <c r="AT496" i="22"/>
  <c r="AU496" i="22"/>
  <c r="AV496" i="22"/>
  <c r="AW496" i="22"/>
  <c r="AX496" i="22"/>
  <c r="AY496" i="22"/>
  <c r="AZ496" i="22"/>
  <c r="BA496" i="22"/>
  <c r="BB496" i="22"/>
  <c r="BC496" i="22"/>
  <c r="BD496" i="22"/>
  <c r="BE496" i="22"/>
  <c r="BF496" i="22"/>
  <c r="BG496" i="22"/>
  <c r="BH496" i="22"/>
  <c r="BI496" i="22"/>
  <c r="BJ496" i="22"/>
  <c r="BK496" i="22"/>
  <c r="BL496" i="22"/>
  <c r="BM496" i="22"/>
  <c r="BN496" i="22"/>
  <c r="BO496" i="22"/>
  <c r="BP496" i="22"/>
  <c r="BQ496" i="22"/>
  <c r="BR496" i="22"/>
  <c r="BS496" i="22"/>
  <c r="BT496" i="22"/>
  <c r="BU496" i="22"/>
  <c r="BV496" i="22"/>
  <c r="BW496" i="22"/>
  <c r="BX496" i="22"/>
  <c r="BY496" i="22"/>
  <c r="BZ496" i="22"/>
  <c r="CA496" i="22"/>
  <c r="CB496" i="22"/>
  <c r="A497" i="22"/>
  <c r="B497" i="22"/>
  <c r="C497" i="22"/>
  <c r="D497" i="22"/>
  <c r="E497" i="22"/>
  <c r="F497" i="22"/>
  <c r="G497" i="22"/>
  <c r="H497" i="22"/>
  <c r="I497" i="22"/>
  <c r="J497" i="22"/>
  <c r="K497" i="22"/>
  <c r="L497" i="22"/>
  <c r="M497" i="22"/>
  <c r="N497" i="22"/>
  <c r="O497" i="22"/>
  <c r="P497" i="22"/>
  <c r="Q497" i="22"/>
  <c r="R497" i="22"/>
  <c r="S497" i="22"/>
  <c r="T497" i="22"/>
  <c r="U497" i="22"/>
  <c r="V497" i="22"/>
  <c r="W497" i="22"/>
  <c r="X497" i="22"/>
  <c r="Y497" i="22"/>
  <c r="Z497" i="22"/>
  <c r="AA497" i="22"/>
  <c r="AB497" i="22"/>
  <c r="AC497" i="22"/>
  <c r="AD497" i="22"/>
  <c r="AE497" i="22"/>
  <c r="AF497" i="22"/>
  <c r="AG497" i="22"/>
  <c r="AH497" i="22"/>
  <c r="AI497" i="22"/>
  <c r="AJ497" i="22"/>
  <c r="AK497" i="22"/>
  <c r="AL497" i="22"/>
  <c r="AM497" i="22"/>
  <c r="AN497" i="22"/>
  <c r="AO497" i="22"/>
  <c r="AP497" i="22"/>
  <c r="AQ497" i="22"/>
  <c r="AR497" i="22"/>
  <c r="AS497" i="22"/>
  <c r="AT497" i="22"/>
  <c r="AU497" i="22"/>
  <c r="AV497" i="22"/>
  <c r="AW497" i="22"/>
  <c r="AX497" i="22"/>
  <c r="AY497" i="22"/>
  <c r="AZ497" i="22"/>
  <c r="BA497" i="22"/>
  <c r="BB497" i="22"/>
  <c r="BC497" i="22"/>
  <c r="BD497" i="22"/>
  <c r="BE497" i="22"/>
  <c r="BF497" i="22"/>
  <c r="BG497" i="22"/>
  <c r="BH497" i="22"/>
  <c r="BI497" i="22"/>
  <c r="BJ497" i="22"/>
  <c r="BK497" i="22"/>
  <c r="BL497" i="22"/>
  <c r="BM497" i="22"/>
  <c r="BN497" i="22"/>
  <c r="BO497" i="22"/>
  <c r="BP497" i="22"/>
  <c r="BQ497" i="22"/>
  <c r="BR497" i="22"/>
  <c r="BS497" i="22"/>
  <c r="BT497" i="22"/>
  <c r="BU497" i="22"/>
  <c r="BV497" i="22"/>
  <c r="BW497" i="22"/>
  <c r="BX497" i="22"/>
  <c r="BY497" i="22"/>
  <c r="BZ497" i="22"/>
  <c r="CA497" i="22"/>
  <c r="CB497" i="22"/>
  <c r="A498" i="22"/>
  <c r="B498" i="22"/>
  <c r="C498" i="22"/>
  <c r="D498" i="22"/>
  <c r="E498" i="22"/>
  <c r="F498" i="22"/>
  <c r="G498" i="22"/>
  <c r="H498" i="22"/>
  <c r="I498" i="22"/>
  <c r="J498" i="22"/>
  <c r="K498" i="22"/>
  <c r="L498" i="22"/>
  <c r="M498" i="22"/>
  <c r="N498" i="22"/>
  <c r="O498" i="22"/>
  <c r="P498" i="22"/>
  <c r="Q498" i="22"/>
  <c r="R498" i="22"/>
  <c r="S498" i="22"/>
  <c r="T498" i="22"/>
  <c r="U498" i="22"/>
  <c r="V498" i="22"/>
  <c r="W498" i="22"/>
  <c r="X498" i="22"/>
  <c r="Y498" i="22"/>
  <c r="Z498" i="22"/>
  <c r="AA498" i="22"/>
  <c r="AB498" i="22"/>
  <c r="AC498" i="22"/>
  <c r="AD498" i="22"/>
  <c r="AE498" i="22"/>
  <c r="AF498" i="22"/>
  <c r="AG498" i="22"/>
  <c r="AH498" i="22"/>
  <c r="AI498" i="22"/>
  <c r="AJ498" i="22"/>
  <c r="AK498" i="22"/>
  <c r="AL498" i="22"/>
  <c r="AM498" i="22"/>
  <c r="AN498" i="22"/>
  <c r="AO498" i="22"/>
  <c r="AP498" i="22"/>
  <c r="AQ498" i="22"/>
  <c r="AR498" i="22"/>
  <c r="AS498" i="22"/>
  <c r="AT498" i="22"/>
  <c r="AU498" i="22"/>
  <c r="AV498" i="22"/>
  <c r="AW498" i="22"/>
  <c r="AX498" i="22"/>
  <c r="AY498" i="22"/>
  <c r="AZ498" i="22"/>
  <c r="BA498" i="22"/>
  <c r="BB498" i="22"/>
  <c r="BC498" i="22"/>
  <c r="BD498" i="22"/>
  <c r="BE498" i="22"/>
  <c r="BF498" i="22"/>
  <c r="BG498" i="22"/>
  <c r="BH498" i="22"/>
  <c r="BI498" i="22"/>
  <c r="BJ498" i="22"/>
  <c r="BK498" i="22"/>
  <c r="BL498" i="22"/>
  <c r="BM498" i="22"/>
  <c r="BN498" i="22"/>
  <c r="BO498" i="22"/>
  <c r="BP498" i="22"/>
  <c r="BQ498" i="22"/>
  <c r="BR498" i="22"/>
  <c r="BS498" i="22"/>
  <c r="BT498" i="22"/>
  <c r="BU498" i="22"/>
  <c r="BV498" i="22"/>
  <c r="BW498" i="22"/>
  <c r="BX498" i="22"/>
  <c r="BY498" i="22"/>
  <c r="BZ498" i="22"/>
  <c r="CA498" i="22"/>
  <c r="CB498" i="22"/>
  <c r="A499" i="22"/>
  <c r="B499" i="22"/>
  <c r="C499" i="22"/>
  <c r="D499" i="22"/>
  <c r="E499" i="22"/>
  <c r="F499" i="22"/>
  <c r="G499" i="22"/>
  <c r="H499" i="22"/>
  <c r="I499" i="22"/>
  <c r="J499" i="22"/>
  <c r="K499" i="22"/>
  <c r="L499" i="22"/>
  <c r="M499" i="22"/>
  <c r="N499" i="22"/>
  <c r="O499" i="22"/>
  <c r="P499" i="22"/>
  <c r="Q499" i="22"/>
  <c r="R499" i="22"/>
  <c r="S499" i="22"/>
  <c r="T499" i="22"/>
  <c r="U499" i="22"/>
  <c r="V499" i="22"/>
  <c r="W499" i="22"/>
  <c r="X499" i="22"/>
  <c r="Y499" i="22"/>
  <c r="Z499" i="22"/>
  <c r="AA499" i="22"/>
  <c r="AB499" i="22"/>
  <c r="AC499" i="22"/>
  <c r="AD499" i="22"/>
  <c r="AE499" i="22"/>
  <c r="AF499" i="22"/>
  <c r="AG499" i="22"/>
  <c r="AH499" i="22"/>
  <c r="AI499" i="22"/>
  <c r="AJ499" i="22"/>
  <c r="AK499" i="22"/>
  <c r="AL499" i="22"/>
  <c r="AM499" i="22"/>
  <c r="AN499" i="22"/>
  <c r="AO499" i="22"/>
  <c r="AP499" i="22"/>
  <c r="AQ499" i="22"/>
  <c r="AR499" i="22"/>
  <c r="AS499" i="22"/>
  <c r="AT499" i="22"/>
  <c r="AU499" i="22"/>
  <c r="AV499" i="22"/>
  <c r="AW499" i="22"/>
  <c r="AX499" i="22"/>
  <c r="AY499" i="22"/>
  <c r="AZ499" i="22"/>
  <c r="BA499" i="22"/>
  <c r="BB499" i="22"/>
  <c r="BC499" i="22"/>
  <c r="BD499" i="22"/>
  <c r="BE499" i="22"/>
  <c r="BF499" i="22"/>
  <c r="BG499" i="22"/>
  <c r="BH499" i="22"/>
  <c r="BI499" i="22"/>
  <c r="BJ499" i="22"/>
  <c r="BK499" i="22"/>
  <c r="BL499" i="22"/>
  <c r="BM499" i="22"/>
  <c r="BN499" i="22"/>
  <c r="BO499" i="22"/>
  <c r="BP499" i="22"/>
  <c r="BQ499" i="22"/>
  <c r="BR499" i="22"/>
  <c r="BS499" i="22"/>
  <c r="BT499" i="22"/>
  <c r="BU499" i="22"/>
  <c r="BV499" i="22"/>
  <c r="BW499" i="22"/>
  <c r="BX499" i="22"/>
  <c r="BY499" i="22"/>
  <c r="BZ499" i="22"/>
  <c r="CA499" i="22"/>
  <c r="CB499" i="22"/>
  <c r="A500" i="22"/>
  <c r="B500" i="22"/>
  <c r="C500" i="22"/>
  <c r="D500" i="22"/>
  <c r="E500" i="22"/>
  <c r="F500" i="22"/>
  <c r="G500" i="22"/>
  <c r="H500" i="22"/>
  <c r="I500" i="22"/>
  <c r="J500" i="22"/>
  <c r="K500" i="22"/>
  <c r="L500" i="22"/>
  <c r="M500" i="22"/>
  <c r="N500" i="22"/>
  <c r="O500" i="22"/>
  <c r="P500" i="22"/>
  <c r="Q500" i="22"/>
  <c r="R500" i="22"/>
  <c r="S500" i="22"/>
  <c r="T500" i="22"/>
  <c r="U500" i="22"/>
  <c r="V500" i="22"/>
  <c r="W500" i="22"/>
  <c r="X500" i="22"/>
  <c r="Y500" i="22"/>
  <c r="Z500" i="22"/>
  <c r="AA500" i="22"/>
  <c r="AB500" i="22"/>
  <c r="AC500" i="22"/>
  <c r="AD500" i="22"/>
  <c r="AE500" i="22"/>
  <c r="AF500" i="22"/>
  <c r="AG500" i="22"/>
  <c r="AH500" i="22"/>
  <c r="AI500" i="22"/>
  <c r="AJ500" i="22"/>
  <c r="AK500" i="22"/>
  <c r="AL500" i="22"/>
  <c r="AM500" i="22"/>
  <c r="AN500" i="22"/>
  <c r="AO500" i="22"/>
  <c r="AP500" i="22"/>
  <c r="AQ500" i="22"/>
  <c r="AR500" i="22"/>
  <c r="AS500" i="22"/>
  <c r="AT500" i="22"/>
  <c r="AU500" i="22"/>
  <c r="AV500" i="22"/>
  <c r="AW500" i="22"/>
  <c r="AX500" i="22"/>
  <c r="AY500" i="22"/>
  <c r="AZ500" i="22"/>
  <c r="BA500" i="22"/>
  <c r="BB500" i="22"/>
  <c r="BC500" i="22"/>
  <c r="BD500" i="22"/>
  <c r="BE500" i="22"/>
  <c r="BF500" i="22"/>
  <c r="BG500" i="22"/>
  <c r="BH500" i="22"/>
  <c r="BI500" i="22"/>
  <c r="BJ500" i="22"/>
  <c r="BK500" i="22"/>
  <c r="BL500" i="22"/>
  <c r="BM500" i="22"/>
  <c r="BN500" i="22"/>
  <c r="BO500" i="22"/>
  <c r="BP500" i="22"/>
  <c r="BQ500" i="22"/>
  <c r="BR500" i="22"/>
  <c r="BS500" i="22"/>
  <c r="BT500" i="22"/>
  <c r="BU500" i="22"/>
  <c r="BV500" i="22"/>
  <c r="BW500" i="22"/>
  <c r="BX500" i="22"/>
  <c r="BY500" i="22"/>
  <c r="BZ500" i="22"/>
  <c r="CA500" i="22"/>
  <c r="CB500" i="22"/>
  <c r="A421" i="22"/>
  <c r="B693" i="22" a="1"/>
  <c r="B693" i="22" s="1"/>
  <c r="C92" i="13" l="1"/>
  <c r="C91" i="13"/>
  <c r="N39" i="27"/>
  <c r="B39" i="27"/>
  <c r="N38" i="27"/>
  <c r="B38" i="27"/>
  <c r="N37" i="27"/>
  <c r="B37" i="27"/>
  <c r="N36" i="27"/>
  <c r="B36" i="27"/>
  <c r="N35" i="27"/>
  <c r="B35" i="27"/>
  <c r="B27" i="28"/>
  <c r="B674" i="22"/>
  <c r="B692" i="22" a="1"/>
  <c r="B692" i="22" s="1"/>
  <c r="B678" i="22" s="1"/>
  <c r="C88" i="12" s="1"/>
  <c r="AG214" i="22"/>
  <c r="A175" i="22"/>
  <c r="M178" i="22"/>
  <c r="K589" i="22" s="1"/>
  <c r="N178" i="22"/>
  <c r="O178" i="22"/>
  <c r="P178" i="22"/>
  <c r="Q178" i="22"/>
  <c r="R178" i="22"/>
  <c r="S178" i="22"/>
  <c r="T178" i="22"/>
  <c r="U178" i="22"/>
  <c r="V178" i="22"/>
  <c r="W178" i="22"/>
  <c r="X178" i="22"/>
  <c r="Y178" i="22"/>
  <c r="Z178" i="22"/>
  <c r="AA178" i="22"/>
  <c r="AB178" i="22"/>
  <c r="AC178" i="22"/>
  <c r="AD178" i="22"/>
  <c r="AE178" i="22"/>
  <c r="AF178" i="22"/>
  <c r="AG178" i="22"/>
  <c r="AH178" i="22"/>
  <c r="AI178" i="22"/>
  <c r="AJ178" i="22"/>
  <c r="AK178" i="22"/>
  <c r="AL178" i="22"/>
  <c r="AM178" i="22"/>
  <c r="AN178" i="22"/>
  <c r="AO178" i="22"/>
  <c r="AP178" i="22"/>
  <c r="AQ178" i="22"/>
  <c r="AR178" i="22"/>
  <c r="AS178" i="22"/>
  <c r="AT178" i="22"/>
  <c r="AU178" i="22"/>
  <c r="AV178" i="22"/>
  <c r="AW178" i="22"/>
  <c r="AX178" i="22"/>
  <c r="AY178" i="22"/>
  <c r="AZ178" i="22"/>
  <c r="BA178" i="22"/>
  <c r="BB178" i="22"/>
  <c r="BC178" i="22"/>
  <c r="BD178" i="22"/>
  <c r="BE178" i="22"/>
  <c r="BF178" i="22"/>
  <c r="BG178" i="22"/>
  <c r="BH178" i="22"/>
  <c r="BI178" i="22"/>
  <c r="BJ178" i="22"/>
  <c r="BK178" i="22"/>
  <c r="BL178" i="22"/>
  <c r="BM178" i="22"/>
  <c r="BN178" i="22"/>
  <c r="BO178" i="22"/>
  <c r="BP178" i="22"/>
  <c r="BQ178" i="22"/>
  <c r="BR178" i="22"/>
  <c r="BS178" i="22"/>
  <c r="BT178" i="22"/>
  <c r="BU178" i="22"/>
  <c r="BV178" i="22"/>
  <c r="BW178" i="22"/>
  <c r="BX178" i="22"/>
  <c r="BY178" i="22"/>
  <c r="BZ178" i="22"/>
  <c r="CA178" i="22"/>
  <c r="CB178" i="22"/>
  <c r="A179" i="22"/>
  <c r="K590" i="22" s="1"/>
  <c r="B179" i="22"/>
  <c r="C179" i="22"/>
  <c r="D179" i="22"/>
  <c r="E179" i="22"/>
  <c r="F179" i="22"/>
  <c r="G179" i="22"/>
  <c r="H179" i="22"/>
  <c r="I179" i="22"/>
  <c r="J179" i="22"/>
  <c r="K179" i="22"/>
  <c r="L179" i="22"/>
  <c r="M179" i="22"/>
  <c r="N179" i="22"/>
  <c r="AV179" i="22"/>
  <c r="AW179" i="22"/>
  <c r="AX179" i="22"/>
  <c r="AY179" i="22"/>
  <c r="AZ179" i="22"/>
  <c r="BA179" i="22"/>
  <c r="BB179" i="22"/>
  <c r="BC179" i="22"/>
  <c r="BD179" i="22"/>
  <c r="BE179" i="22"/>
  <c r="BF179" i="22"/>
  <c r="BG179" i="22"/>
  <c r="BH179" i="22"/>
  <c r="BI179" i="22"/>
  <c r="BJ179" i="22"/>
  <c r="BK179" i="22"/>
  <c r="BL179" i="22"/>
  <c r="BM179" i="22"/>
  <c r="BN179" i="22"/>
  <c r="BO179" i="22"/>
  <c r="BP179" i="22"/>
  <c r="BQ179" i="22"/>
  <c r="BR179" i="22"/>
  <c r="BS179" i="22"/>
  <c r="BT179" i="22"/>
  <c r="BU179" i="22"/>
  <c r="BV179" i="22"/>
  <c r="BW179" i="22"/>
  <c r="BX179" i="22"/>
  <c r="BY179" i="22"/>
  <c r="BZ179" i="22"/>
  <c r="CA179" i="22"/>
  <c r="CB179" i="22"/>
  <c r="A180" i="22"/>
  <c r="K591" i="22" s="1"/>
  <c r="B180" i="22"/>
  <c r="C180" i="22"/>
  <c r="D180" i="22"/>
  <c r="E180" i="22"/>
  <c r="F180" i="22"/>
  <c r="G180" i="22"/>
  <c r="H180" i="22"/>
  <c r="I180" i="22"/>
  <c r="J180" i="22"/>
  <c r="K180" i="22"/>
  <c r="L180" i="22"/>
  <c r="M180" i="22"/>
  <c r="N180" i="22"/>
  <c r="O180" i="22"/>
  <c r="P180" i="22"/>
  <c r="Q180" i="22"/>
  <c r="R180" i="22"/>
  <c r="S180" i="22"/>
  <c r="T180" i="22"/>
  <c r="U180" i="22"/>
  <c r="V180" i="22"/>
  <c r="W180" i="22"/>
  <c r="AD180" i="22"/>
  <c r="AE180" i="22"/>
  <c r="AH180" i="22"/>
  <c r="AJ180" i="22"/>
  <c r="AO180" i="22"/>
  <c r="AQ180" i="22"/>
  <c r="AZ180" i="22"/>
  <c r="BA180" i="22"/>
  <c r="BB180" i="22"/>
  <c r="BC180" i="22"/>
  <c r="BF180" i="22"/>
  <c r="BJ180" i="22"/>
  <c r="BL180" i="22"/>
  <c r="BN180" i="22"/>
  <c r="BP180" i="22"/>
  <c r="BT180" i="22"/>
  <c r="BV180" i="22"/>
  <c r="BW180" i="22"/>
  <c r="BX180" i="22"/>
  <c r="BY180" i="22"/>
  <c r="CA180" i="22"/>
  <c r="A181" i="22"/>
  <c r="K592" i="22" s="1"/>
  <c r="C181" i="22"/>
  <c r="D181" i="22"/>
  <c r="F181" i="22"/>
  <c r="G181" i="22"/>
  <c r="H181" i="22"/>
  <c r="I181" i="22"/>
  <c r="L181" i="22"/>
  <c r="BL182" i="22"/>
  <c r="K593" i="22" s="1"/>
  <c r="BM182" i="22"/>
  <c r="BN182" i="22"/>
  <c r="BO182" i="22"/>
  <c r="BP182" i="22"/>
  <c r="BQ182" i="22"/>
  <c r="BR182" i="22"/>
  <c r="BS182" i="22"/>
  <c r="BT182" i="22"/>
  <c r="BU182" i="22"/>
  <c r="BV182" i="22"/>
  <c r="BW182" i="22"/>
  <c r="BX182" i="22"/>
  <c r="BY182" i="22"/>
  <c r="BZ182" i="22"/>
  <c r="CA182" i="22"/>
  <c r="CB182" i="22"/>
  <c r="A183" i="22"/>
  <c r="K594" i="22" s="1"/>
  <c r="B183" i="22"/>
  <c r="C183" i="22"/>
  <c r="D183" i="22"/>
  <c r="E183" i="22"/>
  <c r="F183" i="22"/>
  <c r="G183" i="22"/>
  <c r="H183" i="22"/>
  <c r="I183" i="22"/>
  <c r="J183" i="22"/>
  <c r="K183" i="22"/>
  <c r="L183" i="22"/>
  <c r="M183" i="22"/>
  <c r="N183" i="22"/>
  <c r="O183" i="22"/>
  <c r="P183" i="22"/>
  <c r="Q183" i="22"/>
  <c r="R183" i="22"/>
  <c r="S183" i="22"/>
  <c r="T183" i="22"/>
  <c r="U183" i="22"/>
  <c r="V183" i="22"/>
  <c r="W183" i="22"/>
  <c r="X183" i="22"/>
  <c r="Y183" i="22"/>
  <c r="Z183" i="22"/>
  <c r="AA183" i="22"/>
  <c r="AB183" i="22"/>
  <c r="AC183" i="22"/>
  <c r="AD183" i="22"/>
  <c r="AE183" i="22"/>
  <c r="AF183" i="22"/>
  <c r="AG183" i="22"/>
  <c r="AH183" i="22"/>
  <c r="AI183" i="22"/>
  <c r="AJ183" i="22"/>
  <c r="AK183" i="22"/>
  <c r="AL183" i="22"/>
  <c r="AM183" i="22"/>
  <c r="AN183" i="22"/>
  <c r="AO183" i="22"/>
  <c r="AP183" i="22"/>
  <c r="AQ183" i="22"/>
  <c r="AR183" i="22"/>
  <c r="AS183" i="22"/>
  <c r="AT183" i="22"/>
  <c r="AU183" i="22"/>
  <c r="AV183" i="22"/>
  <c r="AW183" i="22"/>
  <c r="AX183" i="22"/>
  <c r="AY183" i="22"/>
  <c r="AZ183" i="22"/>
  <c r="BA183" i="22"/>
  <c r="BB183" i="22"/>
  <c r="BC183" i="22"/>
  <c r="BD183" i="22"/>
  <c r="BE183" i="22"/>
  <c r="BF183" i="22"/>
  <c r="BG183" i="22"/>
  <c r="BH183" i="22"/>
  <c r="BI183" i="22"/>
  <c r="BJ183" i="22"/>
  <c r="BK183" i="22"/>
  <c r="BL183" i="22"/>
  <c r="BM183" i="22"/>
  <c r="BN183" i="22"/>
  <c r="BO183" i="22"/>
  <c r="BP183" i="22"/>
  <c r="BQ183" i="22"/>
  <c r="BR183" i="22"/>
  <c r="BS183" i="22"/>
  <c r="BT183" i="22"/>
  <c r="BX183" i="22"/>
  <c r="CA183" i="22"/>
  <c r="A184" i="22"/>
  <c r="K595" i="22" s="1"/>
  <c r="B184" i="22"/>
  <c r="C184" i="22"/>
  <c r="E184" i="22"/>
  <c r="G184" i="22"/>
  <c r="I184" i="22"/>
  <c r="K184" i="22"/>
  <c r="M184" i="22"/>
  <c r="N184" i="22"/>
  <c r="O184" i="22"/>
  <c r="P184" i="22"/>
  <c r="R184" i="22"/>
  <c r="S184" i="22"/>
  <c r="T184" i="22"/>
  <c r="U184" i="22"/>
  <c r="W184" i="22"/>
  <c r="Z184" i="22"/>
  <c r="AB184" i="22"/>
  <c r="AE184" i="22"/>
  <c r="AH184" i="22"/>
  <c r="AJ184" i="22"/>
  <c r="AM184" i="22"/>
  <c r="AO184" i="22"/>
  <c r="AQ184" i="22"/>
  <c r="AR184" i="22"/>
  <c r="AS184" i="22"/>
  <c r="AT184" i="22"/>
  <c r="AV184" i="22"/>
  <c r="AZ184" i="22"/>
  <c r="BB184" i="22"/>
  <c r="BC184" i="22"/>
  <c r="BD184" i="22"/>
  <c r="BG184" i="22"/>
  <c r="BI184" i="22"/>
  <c r="BJ184" i="22"/>
  <c r="BL184" i="22"/>
  <c r="BN184" i="22"/>
  <c r="BR184" i="22"/>
  <c r="BT184" i="22"/>
  <c r="BV184" i="22"/>
  <c r="BW184" i="22"/>
  <c r="BX184" i="22"/>
  <c r="BY184" i="22"/>
  <c r="BZ184" i="22"/>
  <c r="CA184" i="22"/>
  <c r="CB184" i="22"/>
  <c r="A185" i="22"/>
  <c r="G185" i="22"/>
  <c r="H185" i="22"/>
  <c r="I185" i="22"/>
  <c r="K185" i="22"/>
  <c r="L185" i="22"/>
  <c r="M185" i="22"/>
  <c r="Q185" i="22"/>
  <c r="R185" i="22"/>
  <c r="V185" i="22"/>
  <c r="AD185" i="22"/>
  <c r="AK185" i="22"/>
  <c r="AV185" i="22"/>
  <c r="B186" i="22"/>
  <c r="J186" i="22"/>
  <c r="K186" i="22"/>
  <c r="L186" i="22"/>
  <c r="O186" i="22"/>
  <c r="U186" i="22"/>
  <c r="Z186" i="22"/>
  <c r="AB186" i="22"/>
  <c r="AD186" i="22"/>
  <c r="AG186" i="22"/>
  <c r="AH186" i="22"/>
  <c r="AJ186" i="22"/>
  <c r="AK186" i="22"/>
  <c r="AN186" i="22"/>
  <c r="AO186" i="22"/>
  <c r="AP186" i="22"/>
  <c r="AT186" i="22"/>
  <c r="BA186" i="22"/>
  <c r="BB186" i="22"/>
  <c r="BC186" i="22"/>
  <c r="BD186" i="22"/>
  <c r="AX187" i="22"/>
  <c r="BA187" i="22"/>
  <c r="BF187" i="22"/>
  <c r="BG187" i="22"/>
  <c r="BH187" i="22"/>
  <c r="AT192" i="22"/>
  <c r="K603" i="22" s="1"/>
  <c r="AU192" i="22"/>
  <c r="AV192" i="22"/>
  <c r="AW192" i="22"/>
  <c r="BC192" i="22"/>
  <c r="BN192" i="22"/>
  <c r="BQ192" i="22"/>
  <c r="BR192" i="22"/>
  <c r="BS192" i="22"/>
  <c r="CB192" i="22"/>
  <c r="A193" i="22"/>
  <c r="K604" i="22" s="1"/>
  <c r="AD193" i="22"/>
  <c r="AJ193" i="22"/>
  <c r="AL193" i="22"/>
  <c r="AO193" i="22"/>
  <c r="BD193" i="22"/>
  <c r="BE193" i="22"/>
  <c r="BF193" i="22"/>
  <c r="BH193" i="22"/>
  <c r="BI193" i="22"/>
  <c r="BK193" i="22"/>
  <c r="BX193" i="22"/>
  <c r="CB193" i="22"/>
  <c r="E194" i="22"/>
  <c r="H194" i="22"/>
  <c r="J194" i="22"/>
  <c r="L194" i="22"/>
  <c r="M194" i="22"/>
  <c r="N194" i="22"/>
  <c r="O194" i="22"/>
  <c r="Q194" i="22"/>
  <c r="R194" i="22"/>
  <c r="S194" i="22"/>
  <c r="Y194" i="22"/>
  <c r="AH194" i="22"/>
  <c r="AL194" i="22"/>
  <c r="AQ194" i="22"/>
  <c r="AR194" i="22"/>
  <c r="AS194" i="22"/>
  <c r="AU194" i="22"/>
  <c r="AV194" i="22"/>
  <c r="AW194" i="22"/>
  <c r="BB194" i="22"/>
  <c r="BG194" i="22"/>
  <c r="BW194" i="22"/>
  <c r="BX194" i="22"/>
  <c r="CB194" i="22"/>
  <c r="D195" i="22"/>
  <c r="E195" i="22"/>
  <c r="F195" i="22"/>
  <c r="G195" i="22"/>
  <c r="I195" i="22"/>
  <c r="T195" i="22"/>
  <c r="U195" i="22"/>
  <c r="V195" i="22"/>
  <c r="W195" i="22"/>
  <c r="X195" i="22"/>
  <c r="Y195" i="22"/>
  <c r="AA195" i="22"/>
  <c r="AB195" i="22"/>
  <c r="AF195" i="22"/>
  <c r="AJ195" i="22"/>
  <c r="AP195" i="22"/>
  <c r="AS195" i="22"/>
  <c r="AU195" i="22"/>
  <c r="AW195" i="22"/>
  <c r="BH195" i="22"/>
  <c r="BK195" i="22"/>
  <c r="BL195" i="22"/>
  <c r="BM195" i="22"/>
  <c r="BP195" i="22"/>
  <c r="BQ195" i="22"/>
  <c r="BR195" i="22"/>
  <c r="BS195" i="22"/>
  <c r="BT195" i="22"/>
  <c r="BX195" i="22"/>
  <c r="BY195" i="22"/>
  <c r="BZ195" i="22"/>
  <c r="CA195" i="22"/>
  <c r="I196" i="22"/>
  <c r="K607" i="22" s="1"/>
  <c r="K196" i="22"/>
  <c r="Q196" i="22"/>
  <c r="R196" i="22"/>
  <c r="S196" i="22"/>
  <c r="U196" i="22"/>
  <c r="W196" i="22"/>
  <c r="X196" i="22"/>
  <c r="Y196" i="22"/>
  <c r="Z196" i="22"/>
  <c r="AA196" i="22"/>
  <c r="AB196" i="22"/>
  <c r="AK196" i="22"/>
  <c r="AL196" i="22"/>
  <c r="AM196" i="22"/>
  <c r="AN196" i="22"/>
  <c r="AQ196" i="22"/>
  <c r="AW196" i="22"/>
  <c r="BC196" i="22"/>
  <c r="BJ196" i="22"/>
  <c r="BW196" i="22"/>
  <c r="CA196" i="22"/>
  <c r="A197" i="22"/>
  <c r="N197" i="22"/>
  <c r="O197" i="22"/>
  <c r="S197" i="22"/>
  <c r="U197" i="22"/>
  <c r="AE197" i="22"/>
  <c r="AF197" i="22"/>
  <c r="AM197" i="22"/>
  <c r="AN197" i="22"/>
  <c r="AQ197" i="22"/>
  <c r="BM197" i="22"/>
  <c r="BT197" i="22"/>
  <c r="BU197" i="22"/>
  <c r="BV197" i="22"/>
  <c r="BW197" i="22"/>
  <c r="BX197" i="22"/>
  <c r="BY197" i="22"/>
  <c r="BZ197" i="22"/>
  <c r="B198" i="22"/>
  <c r="K609" i="22" s="1"/>
  <c r="C198" i="22"/>
  <c r="H198" i="22"/>
  <c r="L198" i="22"/>
  <c r="M198" i="22"/>
  <c r="N198" i="22"/>
  <c r="O198" i="22"/>
  <c r="S198" i="22"/>
  <c r="T198" i="22"/>
  <c r="V198" i="22"/>
  <c r="X198" i="22"/>
  <c r="Y198" i="22"/>
  <c r="AE198" i="22"/>
  <c r="AF198" i="22"/>
  <c r="AQ198" i="22"/>
  <c r="AU198" i="22"/>
  <c r="AX198" i="22"/>
  <c r="AZ198" i="22"/>
  <c r="BB198" i="22"/>
  <c r="BF198" i="22"/>
  <c r="BM198" i="22"/>
  <c r="BN198" i="22"/>
  <c r="BY198" i="22"/>
  <c r="A199" i="22"/>
  <c r="G199" i="22"/>
  <c r="N199" i="22"/>
  <c r="O199" i="22"/>
  <c r="T199" i="22"/>
  <c r="AF199" i="22"/>
  <c r="AT199" i="22"/>
  <c r="BD199" i="22"/>
  <c r="BH199" i="22"/>
  <c r="BP199" i="22"/>
  <c r="AC200" i="22"/>
  <c r="K611" i="22" s="1"/>
  <c r="AE200" i="22"/>
  <c r="BA200" i="22"/>
  <c r="G201" i="22"/>
  <c r="K612" i="22" s="1"/>
  <c r="AN201" i="22"/>
  <c r="AS201" i="22"/>
  <c r="CB201" i="22"/>
  <c r="A202" i="22"/>
  <c r="I202" i="22"/>
  <c r="T202" i="22"/>
  <c r="AB202" i="22"/>
  <c r="AF202" i="22"/>
  <c r="AV202" i="22"/>
  <c r="BT202" i="22"/>
  <c r="BU202" i="22"/>
  <c r="BW202" i="22"/>
  <c r="AI203" i="22"/>
  <c r="AV203" i="22"/>
  <c r="CA203" i="22"/>
  <c r="I204" i="22"/>
  <c r="K615" i="22" s="1"/>
  <c r="L204" i="22"/>
  <c r="U204" i="22"/>
  <c r="AT204" i="22"/>
  <c r="BC204" i="22"/>
  <c r="BE204" i="22"/>
  <c r="BH204" i="22"/>
  <c r="BS204" i="22"/>
  <c r="F205" i="22"/>
  <c r="AB205" i="22"/>
  <c r="AE205" i="22"/>
  <c r="AM205" i="22"/>
  <c r="BD205" i="22"/>
  <c r="BJ205" i="22"/>
  <c r="BM205" i="22"/>
  <c r="BR205" i="22"/>
  <c r="BV205" i="22"/>
  <c r="F206" i="22"/>
  <c r="B175" i="22"/>
  <c r="C175" i="22"/>
  <c r="D175" i="22"/>
  <c r="E175" i="22"/>
  <c r="F175" i="22"/>
  <c r="G175" i="22"/>
  <c r="H175" i="22"/>
  <c r="I175" i="22"/>
  <c r="J175" i="22"/>
  <c r="K175" i="22"/>
  <c r="L175" i="22"/>
  <c r="M175" i="22"/>
  <c r="N175" i="22"/>
  <c r="O175" i="22"/>
  <c r="P175" i="22"/>
  <c r="Q175" i="22"/>
  <c r="R175" i="22"/>
  <c r="S175" i="22"/>
  <c r="T175" i="22"/>
  <c r="U175" i="22"/>
  <c r="V175" i="22"/>
  <c r="W175" i="22"/>
  <c r="X175" i="22"/>
  <c r="Y175" i="22"/>
  <c r="Z175" i="22"/>
  <c r="AA175" i="22"/>
  <c r="AB175" i="22"/>
  <c r="AC175" i="22"/>
  <c r="AD175" i="22"/>
  <c r="AE175" i="22"/>
  <c r="AF175" i="22"/>
  <c r="AG175" i="22"/>
  <c r="AH175" i="22"/>
  <c r="AI175" i="22"/>
  <c r="AJ175" i="22"/>
  <c r="AK175" i="22"/>
  <c r="AL175" i="22"/>
  <c r="AM175" i="22"/>
  <c r="AN175" i="22"/>
  <c r="AO175" i="22"/>
  <c r="AP175" i="22"/>
  <c r="AQ175" i="22"/>
  <c r="AR175" i="22"/>
  <c r="AS175" i="22"/>
  <c r="AT175" i="22"/>
  <c r="AU175" i="22"/>
  <c r="AV175" i="22"/>
  <c r="AW175" i="22"/>
  <c r="AX175" i="22"/>
  <c r="AY175" i="22"/>
  <c r="AZ175" i="22"/>
  <c r="BA175" i="22"/>
  <c r="BB175" i="22"/>
  <c r="BC175" i="22"/>
  <c r="BD175" i="22"/>
  <c r="BE175" i="22"/>
  <c r="BF175" i="22"/>
  <c r="BG175" i="22"/>
  <c r="BH175" i="22"/>
  <c r="BI175" i="22"/>
  <c r="BJ175" i="22"/>
  <c r="BK175" i="22"/>
  <c r="BL175" i="22"/>
  <c r="BM175" i="22"/>
  <c r="BN175" i="22"/>
  <c r="BO175" i="22"/>
  <c r="BP175" i="22"/>
  <c r="BQ175" i="22"/>
  <c r="BR175" i="22"/>
  <c r="BS175" i="22"/>
  <c r="BT175" i="22"/>
  <c r="BU175" i="22"/>
  <c r="BV175" i="22"/>
  <c r="BW175" i="22"/>
  <c r="BX175" i="22"/>
  <c r="BY175" i="22"/>
  <c r="BZ175" i="22"/>
  <c r="CA175" i="22"/>
  <c r="CB175" i="22"/>
  <c r="A176" i="22"/>
  <c r="B176" i="22"/>
  <c r="C176" i="22"/>
  <c r="D176" i="22"/>
  <c r="E176" i="22"/>
  <c r="F176" i="22"/>
  <c r="G176" i="22"/>
  <c r="C185" i="22"/>
  <c r="W185" i="22"/>
  <c r="X185" i="22"/>
  <c r="Y185" i="22"/>
  <c r="AC185" i="22"/>
  <c r="AI185" i="22"/>
  <c r="AJ185" i="22"/>
  <c r="AO185" i="22"/>
  <c r="AP185" i="22"/>
  <c r="AW185" i="22"/>
  <c r="BB185" i="22"/>
  <c r="BD185" i="22"/>
  <c r="BE185" i="22"/>
  <c r="BF185" i="22"/>
  <c r="BG185" i="22"/>
  <c r="BI185" i="22"/>
  <c r="BS185" i="22"/>
  <c r="BX185" i="22"/>
  <c r="D186" i="22"/>
  <c r="F186" i="22"/>
  <c r="G186" i="22"/>
  <c r="AR187" i="22"/>
  <c r="AY187" i="22"/>
  <c r="BC187" i="22"/>
  <c r="BK187" i="22"/>
  <c r="BL187" i="22"/>
  <c r="AR192" i="22"/>
  <c r="AS192" i="22"/>
  <c r="AY192" i="22"/>
  <c r="AZ192" i="22"/>
  <c r="BA192" i="22"/>
  <c r="BB192" i="22"/>
  <c r="BH192" i="22"/>
  <c r="BI192" i="22"/>
  <c r="BJ192" i="22"/>
  <c r="BL192" i="22"/>
  <c r="BM192" i="22"/>
  <c r="BU192" i="22"/>
  <c r="BX192" i="22"/>
  <c r="CA192" i="22"/>
  <c r="E193" i="22"/>
  <c r="F193" i="22"/>
  <c r="G193" i="22"/>
  <c r="H193" i="22"/>
  <c r="I193" i="22"/>
  <c r="L193" i="22"/>
  <c r="P193" i="22"/>
  <c r="R193" i="22"/>
  <c r="S193" i="22"/>
  <c r="T193" i="22"/>
  <c r="U193" i="22"/>
  <c r="W193" i="22"/>
  <c r="X193" i="22"/>
  <c r="AA193" i="22"/>
  <c r="AM193" i="22"/>
  <c r="AR193" i="22"/>
  <c r="AS193" i="22"/>
  <c r="AT193" i="22"/>
  <c r="AU193" i="22"/>
  <c r="AV193" i="22"/>
  <c r="AW193" i="22"/>
  <c r="AZ193" i="22"/>
  <c r="BJ193" i="22"/>
  <c r="BW193" i="22"/>
  <c r="A194" i="22"/>
  <c r="G194" i="22"/>
  <c r="K194" i="22"/>
  <c r="P194" i="22"/>
  <c r="X194" i="22"/>
  <c r="Z194" i="22"/>
  <c r="AB194" i="22"/>
  <c r="AC194" i="22"/>
  <c r="AI194" i="22"/>
  <c r="AT194" i="22"/>
  <c r="AZ194" i="22"/>
  <c r="BH194" i="22"/>
  <c r="BI194" i="22"/>
  <c r="BJ194" i="22"/>
  <c r="BK194" i="22"/>
  <c r="BL194" i="22"/>
  <c r="BS194" i="22"/>
  <c r="BT194" i="22"/>
  <c r="BV194" i="22"/>
  <c r="N195" i="22"/>
  <c r="S195" i="22"/>
  <c r="CB195" i="22"/>
  <c r="A196" i="22"/>
  <c r="B196" i="22"/>
  <c r="D196" i="22"/>
  <c r="F196" i="22"/>
  <c r="G196" i="22"/>
  <c r="H196" i="22"/>
  <c r="P196" i="22"/>
  <c r="AI196" i="22"/>
  <c r="AV196" i="22"/>
  <c r="BB196" i="22"/>
  <c r="BE196" i="22"/>
  <c r="BF196" i="22"/>
  <c r="BG196" i="22"/>
  <c r="BO196" i="22"/>
  <c r="BP196" i="22"/>
  <c r="BS196" i="22"/>
  <c r="CB196" i="22"/>
  <c r="C197" i="22"/>
  <c r="E197" i="22"/>
  <c r="G197" i="22"/>
  <c r="H197" i="22"/>
  <c r="K197" i="22"/>
  <c r="Y197" i="22"/>
  <c r="Z197" i="22"/>
  <c r="AA197" i="22"/>
  <c r="AB197" i="22"/>
  <c r="AG197" i="22"/>
  <c r="AI197" i="22"/>
  <c r="AK197" i="22"/>
  <c r="AL197" i="22"/>
  <c r="AW197" i="22"/>
  <c r="BB197" i="22"/>
  <c r="BD197" i="22"/>
  <c r="BE197" i="22"/>
  <c r="BF197" i="22"/>
  <c r="BJ197" i="22"/>
  <c r="BL197" i="22"/>
  <c r="CB197" i="22"/>
  <c r="A198" i="22"/>
  <c r="J198" i="22"/>
  <c r="P198" i="22"/>
  <c r="Q198" i="22"/>
  <c r="U198" i="22"/>
  <c r="W198" i="22"/>
  <c r="Z198" i="22"/>
  <c r="AA198" i="22"/>
  <c r="AG198" i="22"/>
  <c r="AN198" i="22"/>
  <c r="BA198" i="22"/>
  <c r="BC198" i="22"/>
  <c r="BE198" i="22"/>
  <c r="BQ198" i="22"/>
  <c r="BR198" i="22"/>
  <c r="BS198" i="22"/>
  <c r="BT198" i="22"/>
  <c r="BU198" i="22"/>
  <c r="BV198" i="22"/>
  <c r="CA198" i="22"/>
  <c r="BV199" i="22"/>
  <c r="BX199" i="22"/>
  <c r="K200" i="22"/>
  <c r="M200" i="22"/>
  <c r="AF200" i="22"/>
  <c r="BY200" i="22"/>
  <c r="D201" i="22"/>
  <c r="AJ201" i="22"/>
  <c r="AV201" i="22"/>
  <c r="AZ201" i="22"/>
  <c r="BU201" i="22"/>
  <c r="CA201" i="22"/>
  <c r="AJ202" i="22"/>
  <c r="AM202" i="22"/>
  <c r="AQ202" i="22"/>
  <c r="AS202" i="22"/>
  <c r="AX202" i="22"/>
  <c r="BC202" i="22"/>
  <c r="BD202" i="22"/>
  <c r="BK202" i="22"/>
  <c r="BO202" i="22"/>
  <c r="BP202" i="22"/>
  <c r="CA202" i="22"/>
  <c r="A203" i="22"/>
  <c r="Q203" i="22"/>
  <c r="BC203" i="22"/>
  <c r="BG203" i="22"/>
  <c r="BY203" i="22"/>
  <c r="H204" i="22"/>
  <c r="O204" i="22"/>
  <c r="S204" i="22"/>
  <c r="AY204" i="22"/>
  <c r="BB204" i="22"/>
  <c r="K205" i="22"/>
  <c r="M205" i="22"/>
  <c r="BO205" i="22"/>
  <c r="A206" i="22"/>
  <c r="H206" i="22"/>
  <c r="K206" i="22"/>
  <c r="N206" i="22"/>
  <c r="O206" i="22"/>
  <c r="K178" i="22"/>
  <c r="I178" i="22"/>
  <c r="H176" i="22"/>
  <c r="I176" i="22"/>
  <c r="J176" i="22"/>
  <c r="K176" i="22"/>
  <c r="L176" i="22"/>
  <c r="M176" i="22"/>
  <c r="N176" i="22"/>
  <c r="O176" i="22"/>
  <c r="P176" i="22"/>
  <c r="Q176" i="22"/>
  <c r="R176" i="22"/>
  <c r="S176" i="22"/>
  <c r="T176" i="22"/>
  <c r="U176" i="22"/>
  <c r="V176" i="22"/>
  <c r="W176" i="22"/>
  <c r="X176" i="22"/>
  <c r="Y176" i="22"/>
  <c r="Z176" i="22"/>
  <c r="AA176" i="22"/>
  <c r="AB176" i="22"/>
  <c r="AC176" i="22"/>
  <c r="AD176" i="22"/>
  <c r="AE176" i="22"/>
  <c r="AF176" i="22"/>
  <c r="AG176" i="22"/>
  <c r="AH176" i="22"/>
  <c r="AI176" i="22"/>
  <c r="AJ176" i="22"/>
  <c r="AK176" i="22"/>
  <c r="AL176" i="22"/>
  <c r="AM176" i="22"/>
  <c r="AN176" i="22"/>
  <c r="AO176" i="22"/>
  <c r="AP176" i="22"/>
  <c r="AQ176" i="22"/>
  <c r="AR176" i="22"/>
  <c r="AS176" i="22"/>
  <c r="AT176" i="22"/>
  <c r="AU176" i="22"/>
  <c r="AV176" i="22"/>
  <c r="AW176" i="22"/>
  <c r="AX176" i="22"/>
  <c r="AY176" i="22"/>
  <c r="AZ176" i="22"/>
  <c r="BA176" i="22"/>
  <c r="BB176" i="22"/>
  <c r="BC176" i="22"/>
  <c r="BD176" i="22"/>
  <c r="BE176" i="22"/>
  <c r="BF176" i="22"/>
  <c r="BG176" i="22"/>
  <c r="BH176" i="22"/>
  <c r="BI176" i="22"/>
  <c r="BJ176" i="22"/>
  <c r="BK176" i="22"/>
  <c r="BL176" i="22"/>
  <c r="BM176" i="22"/>
  <c r="BN176" i="22"/>
  <c r="BO176" i="22"/>
  <c r="BP176" i="22"/>
  <c r="BQ176" i="22"/>
  <c r="BR176" i="22"/>
  <c r="BS176" i="22"/>
  <c r="BT176" i="22"/>
  <c r="BU176" i="22"/>
  <c r="BV176" i="22"/>
  <c r="BW176" i="22"/>
  <c r="BX176" i="22"/>
  <c r="BY176" i="22"/>
  <c r="BZ176" i="22"/>
  <c r="CA176" i="22"/>
  <c r="CB176" i="22"/>
  <c r="A177" i="22"/>
  <c r="B177" i="22"/>
  <c r="C177" i="22"/>
  <c r="D177" i="22"/>
  <c r="E177" i="22"/>
  <c r="F177" i="22"/>
  <c r="G177" i="22"/>
  <c r="I177" i="22"/>
  <c r="J177" i="22"/>
  <c r="K177" i="22"/>
  <c r="L177" i="22"/>
  <c r="M177" i="22"/>
  <c r="N177" i="22"/>
  <c r="O177" i="22"/>
  <c r="Q177" i="22"/>
  <c r="R177" i="22"/>
  <c r="S177" i="22"/>
  <c r="U177" i="22"/>
  <c r="V177" i="22"/>
  <c r="W177" i="22"/>
  <c r="Y177" i="22"/>
  <c r="AB177" i="22"/>
  <c r="AC177" i="22"/>
  <c r="AD177" i="22"/>
  <c r="AE177" i="22"/>
  <c r="AH177" i="22"/>
  <c r="AI177" i="22"/>
  <c r="AM177" i="22"/>
  <c r="AN177" i="22"/>
  <c r="AO177" i="22"/>
  <c r="AP177" i="22"/>
  <c r="AQ177" i="22"/>
  <c r="AS177" i="22"/>
  <c r="AU177" i="22"/>
  <c r="AV177" i="22"/>
  <c r="AW177" i="22"/>
  <c r="AY177" i="22"/>
  <c r="AZ177" i="22"/>
  <c r="BA177" i="22"/>
  <c r="BD177" i="22"/>
  <c r="BE177" i="22"/>
  <c r="BH177" i="22"/>
  <c r="BI177" i="22"/>
  <c r="BL177" i="22"/>
  <c r="BM177" i="22"/>
  <c r="BN177" i="22"/>
  <c r="BP177" i="22"/>
  <c r="BQ177" i="22"/>
  <c r="BR177" i="22"/>
  <c r="BS177" i="22"/>
  <c r="BT177" i="22"/>
  <c r="BU177" i="22"/>
  <c r="BW177" i="22"/>
  <c r="BX177" i="22"/>
  <c r="BY177" i="22"/>
  <c r="CB177" i="22"/>
  <c r="B178" i="22"/>
  <c r="D178" i="22"/>
  <c r="E178" i="22"/>
  <c r="F178" i="22"/>
  <c r="G178" i="22"/>
  <c r="H178" i="22"/>
  <c r="J178" i="22"/>
  <c r="O179" i="22"/>
  <c r="P179" i="22"/>
  <c r="Q179" i="22"/>
  <c r="R179" i="22"/>
  <c r="S179" i="22"/>
  <c r="T179" i="22"/>
  <c r="U179" i="22"/>
  <c r="V179" i="22"/>
  <c r="W179" i="22"/>
  <c r="X179" i="22"/>
  <c r="Y179" i="22"/>
  <c r="Z179" i="22"/>
  <c r="AA179" i="22"/>
  <c r="AB179" i="22"/>
  <c r="AC179" i="22"/>
  <c r="AD179" i="22"/>
  <c r="AE179" i="22"/>
  <c r="AF179" i="22"/>
  <c r="AG179" i="22"/>
  <c r="AH179" i="22"/>
  <c r="AI179" i="22"/>
  <c r="AJ179" i="22"/>
  <c r="AK179" i="22"/>
  <c r="AL179" i="22"/>
  <c r="AM179" i="22"/>
  <c r="AN179" i="22"/>
  <c r="AO179" i="22"/>
  <c r="AP179" i="22"/>
  <c r="AQ179" i="22"/>
  <c r="AR179" i="22"/>
  <c r="AS179" i="22"/>
  <c r="AT179" i="22"/>
  <c r="AU179" i="22"/>
  <c r="X180" i="22"/>
  <c r="Y180" i="22"/>
  <c r="Z180" i="22"/>
  <c r="AA180" i="22"/>
  <c r="AB180" i="22"/>
  <c r="AC180" i="22"/>
  <c r="AF180" i="22"/>
  <c r="AG180" i="22"/>
  <c r="AI180" i="22"/>
  <c r="AK180" i="22"/>
  <c r="AL180" i="22"/>
  <c r="AM180" i="22"/>
  <c r="AN180" i="22"/>
  <c r="AP180" i="22"/>
  <c r="AR180" i="22"/>
  <c r="AS180" i="22"/>
  <c r="AT180" i="22"/>
  <c r="AU180" i="22"/>
  <c r="AV180" i="22"/>
  <c r="AW180" i="22"/>
  <c r="AX180" i="22"/>
  <c r="AY180" i="22"/>
  <c r="BD180" i="22"/>
  <c r="BE180" i="22"/>
  <c r="BG180" i="22"/>
  <c r="BH180" i="22"/>
  <c r="BI180" i="22"/>
  <c r="BK180" i="22"/>
  <c r="BM180" i="22"/>
  <c r="BO180" i="22"/>
  <c r="BQ180" i="22"/>
  <c r="BR180" i="22"/>
  <c r="BS180" i="22"/>
  <c r="BU180" i="22"/>
  <c r="BZ180" i="22"/>
  <c r="CB180" i="22"/>
  <c r="B181" i="22"/>
  <c r="E181" i="22"/>
  <c r="J181" i="22"/>
  <c r="K181" i="22"/>
  <c r="M181" i="22"/>
  <c r="N181" i="22"/>
  <c r="O181" i="22"/>
  <c r="P181" i="22"/>
  <c r="Q181" i="22"/>
  <c r="R181" i="22"/>
  <c r="S181" i="22"/>
  <c r="T181" i="22"/>
  <c r="U181" i="22"/>
  <c r="V181" i="22"/>
  <c r="W181" i="22"/>
  <c r="X181" i="22"/>
  <c r="Y181" i="22"/>
  <c r="Z181" i="22"/>
  <c r="AA181" i="22"/>
  <c r="AB181" i="22"/>
  <c r="AC181" i="22"/>
  <c r="AD181" i="22"/>
  <c r="AE181" i="22"/>
  <c r="AF181" i="22"/>
  <c r="AG181" i="22"/>
  <c r="AH181" i="22"/>
  <c r="AI181" i="22"/>
  <c r="AJ181" i="22"/>
  <c r="AK181" i="22"/>
  <c r="AL181" i="22"/>
  <c r="AM181" i="22"/>
  <c r="AN181" i="22"/>
  <c r="AO181" i="22"/>
  <c r="AP181" i="22"/>
  <c r="AQ181" i="22"/>
  <c r="AR181" i="22"/>
  <c r="AS181" i="22"/>
  <c r="AT181" i="22"/>
  <c r="AU181" i="22"/>
  <c r="AV181" i="22"/>
  <c r="AW181" i="22"/>
  <c r="AX181" i="22"/>
  <c r="AY181" i="22"/>
  <c r="AZ181" i="22"/>
  <c r="BA181" i="22"/>
  <c r="BB181" i="22"/>
  <c r="BC181" i="22"/>
  <c r="BD181" i="22"/>
  <c r="BE181" i="22"/>
  <c r="BF181" i="22"/>
  <c r="BG181" i="22"/>
  <c r="BH181" i="22"/>
  <c r="BI181" i="22"/>
  <c r="BJ181" i="22"/>
  <c r="BK181" i="22"/>
  <c r="BL181" i="22"/>
  <c r="BM181" i="22"/>
  <c r="BN181" i="22"/>
  <c r="BO181" i="22"/>
  <c r="BP181" i="22"/>
  <c r="BQ181" i="22"/>
  <c r="BR181" i="22"/>
  <c r="BS181" i="22"/>
  <c r="BT181" i="22"/>
  <c r="BU181" i="22"/>
  <c r="BV181" i="22"/>
  <c r="BW181" i="22"/>
  <c r="BX181" i="22"/>
  <c r="BY181" i="22"/>
  <c r="BZ181" i="22"/>
  <c r="CA181" i="22"/>
  <c r="CB181" i="22"/>
  <c r="A182" i="22"/>
  <c r="B182" i="22"/>
  <c r="C182" i="22"/>
  <c r="D182" i="22"/>
  <c r="E182" i="22"/>
  <c r="F182" i="22"/>
  <c r="G182" i="22"/>
  <c r="H182" i="22"/>
  <c r="I182" i="22"/>
  <c r="J182" i="22"/>
  <c r="K182" i="22"/>
  <c r="L182" i="22"/>
  <c r="M182" i="22"/>
  <c r="N182" i="22"/>
  <c r="O182" i="22"/>
  <c r="P182" i="22"/>
  <c r="Q182" i="22"/>
  <c r="R182" i="22"/>
  <c r="S182" i="22"/>
  <c r="T182" i="22"/>
  <c r="U182" i="22"/>
  <c r="V182" i="22"/>
  <c r="W182" i="22"/>
  <c r="X182" i="22"/>
  <c r="Y182" i="22"/>
  <c r="Z182" i="22"/>
  <c r="AA182" i="22"/>
  <c r="AB182" i="22"/>
  <c r="AC182" i="22"/>
  <c r="AD182" i="22"/>
  <c r="AE182" i="22"/>
  <c r="AF182" i="22"/>
  <c r="AG182" i="22"/>
  <c r="AH182" i="22"/>
  <c r="AI182" i="22"/>
  <c r="AJ182" i="22"/>
  <c r="AK182" i="22"/>
  <c r="AL182" i="22"/>
  <c r="AM182" i="22"/>
  <c r="AN182" i="22"/>
  <c r="AO182" i="22"/>
  <c r="AP182" i="22"/>
  <c r="AQ182" i="22"/>
  <c r="AR182" i="22"/>
  <c r="AS182" i="22"/>
  <c r="AT182" i="22"/>
  <c r="AU182" i="22"/>
  <c r="AV182" i="22"/>
  <c r="AW182" i="22"/>
  <c r="AX182" i="22"/>
  <c r="AY182" i="22"/>
  <c r="AZ182" i="22"/>
  <c r="BA182" i="22"/>
  <c r="BB182" i="22"/>
  <c r="BC182" i="22"/>
  <c r="BD182" i="22"/>
  <c r="BE182" i="22"/>
  <c r="BF182" i="22"/>
  <c r="BG182" i="22"/>
  <c r="BH182" i="22"/>
  <c r="BI182" i="22"/>
  <c r="BJ182" i="22"/>
  <c r="BK182" i="22"/>
  <c r="BU183" i="22"/>
  <c r="BV183" i="22"/>
  <c r="BW183" i="22"/>
  <c r="BY183" i="22"/>
  <c r="BZ183" i="22"/>
  <c r="CB183" i="22"/>
  <c r="D184" i="22"/>
  <c r="F184" i="22"/>
  <c r="H184" i="22"/>
  <c r="J184" i="22"/>
  <c r="L184" i="22"/>
  <c r="Q184" i="22"/>
  <c r="V184" i="22"/>
  <c r="X184" i="22"/>
  <c r="Y184" i="22"/>
  <c r="AA184" i="22"/>
  <c r="AC184" i="22"/>
  <c r="AD184" i="22"/>
  <c r="AF184" i="22"/>
  <c r="AG184" i="22"/>
  <c r="AI184" i="22"/>
  <c r="AK184" i="22"/>
  <c r="AL184" i="22"/>
  <c r="AN184" i="22"/>
  <c r="AP184" i="22"/>
  <c r="AU184" i="22"/>
  <c r="AW184" i="22"/>
  <c r="AX184" i="22"/>
  <c r="AY184" i="22"/>
  <c r="BA184" i="22"/>
  <c r="BE184" i="22"/>
  <c r="BF184" i="22"/>
  <c r="BH184" i="22"/>
  <c r="BM184" i="22"/>
  <c r="BO184" i="22"/>
  <c r="BP184" i="22"/>
  <c r="BQ184" i="22"/>
  <c r="BS184" i="22"/>
  <c r="E185" i="22"/>
  <c r="O185" i="22"/>
  <c r="P185" i="22"/>
  <c r="S185" i="22"/>
  <c r="U185" i="22"/>
  <c r="Z185" i="22"/>
  <c r="AA185" i="22"/>
  <c r="AB185" i="22"/>
  <c r="AE185" i="22"/>
  <c r="AF185" i="22"/>
  <c r="AG185" i="22"/>
  <c r="AH185" i="22"/>
  <c r="AL185" i="22"/>
  <c r="AM185" i="22"/>
  <c r="AN185" i="22"/>
  <c r="AQ185" i="22"/>
  <c r="AR185" i="22"/>
  <c r="AS185" i="22"/>
  <c r="AT185" i="22"/>
  <c r="AU185" i="22"/>
  <c r="AX185" i="22"/>
  <c r="AZ185" i="22"/>
  <c r="BH185" i="22"/>
  <c r="BJ185" i="22"/>
  <c r="BK185" i="22"/>
  <c r="BO185" i="22"/>
  <c r="BP185" i="22"/>
  <c r="BT185" i="22"/>
  <c r="BU185" i="22"/>
  <c r="BV185" i="22"/>
  <c r="BW185" i="22"/>
  <c r="BY185" i="22"/>
  <c r="CB185" i="22"/>
  <c r="A186" i="22"/>
  <c r="C186" i="22"/>
  <c r="E186" i="22"/>
  <c r="I186" i="22"/>
  <c r="Q186" i="22"/>
  <c r="R186" i="22"/>
  <c r="S186" i="22"/>
  <c r="T186" i="22"/>
  <c r="V186" i="22"/>
  <c r="W186" i="22"/>
  <c r="X186" i="22"/>
  <c r="AA186" i="22"/>
  <c r="AC186" i="22"/>
  <c r="AI186" i="22"/>
  <c r="AL186" i="22"/>
  <c r="AM186" i="22"/>
  <c r="AQ186" i="22"/>
  <c r="AR186" i="22"/>
  <c r="AS186" i="22"/>
  <c r="AV186" i="22"/>
  <c r="AW186" i="22"/>
  <c r="AX186" i="22"/>
  <c r="AY186" i="22"/>
  <c r="BH186" i="22"/>
  <c r="BL186" i="22"/>
  <c r="BM186" i="22"/>
  <c r="BN186" i="22"/>
  <c r="BO186" i="22"/>
  <c r="BQ186" i="22"/>
  <c r="BR186" i="22"/>
  <c r="BS186" i="22"/>
  <c r="BU186" i="22"/>
  <c r="BW186" i="22"/>
  <c r="B187" i="22"/>
  <c r="C187" i="22"/>
  <c r="D187" i="22"/>
  <c r="I187" i="22"/>
  <c r="K187" i="22"/>
  <c r="L187" i="22"/>
  <c r="N187" i="22"/>
  <c r="O187" i="22"/>
  <c r="Q187" i="22"/>
  <c r="S187" i="22"/>
  <c r="U187" i="22"/>
  <c r="V187" i="22"/>
  <c r="W187" i="22"/>
  <c r="X187" i="22"/>
  <c r="Y187" i="22"/>
  <c r="AA187" i="22"/>
  <c r="AF187" i="22"/>
  <c r="AG187" i="22"/>
  <c r="AH187" i="22"/>
  <c r="AJ187" i="22"/>
  <c r="AN187" i="22"/>
  <c r="AP187" i="22"/>
  <c r="AU187" i="22"/>
  <c r="AV187" i="22"/>
  <c r="AW187" i="22"/>
  <c r="BB187" i="22"/>
  <c r="BD187" i="22"/>
  <c r="BE187" i="22"/>
  <c r="BI187" i="22"/>
  <c r="BJ187" i="22"/>
  <c r="BM187" i="22"/>
  <c r="BN187" i="22"/>
  <c r="BD192" i="22"/>
  <c r="BK192" i="22"/>
  <c r="BO192" i="22"/>
  <c r="BT192" i="22"/>
  <c r="BV192" i="22"/>
  <c r="BW192" i="22"/>
  <c r="BY192" i="22"/>
  <c r="D193" i="22"/>
  <c r="AC193" i="22"/>
  <c r="AE193" i="22"/>
  <c r="AF193" i="22"/>
  <c r="AK193" i="22"/>
  <c r="AN193" i="22"/>
  <c r="AX193" i="22"/>
  <c r="BL193" i="22"/>
  <c r="BM193" i="22"/>
  <c r="BN193" i="22"/>
  <c r="BO193" i="22"/>
  <c r="BZ193" i="22"/>
  <c r="B194" i="22"/>
  <c r="D194" i="22"/>
  <c r="F194" i="22"/>
  <c r="U194" i="22"/>
  <c r="V194" i="22"/>
  <c r="AD194" i="22"/>
  <c r="AF194" i="22"/>
  <c r="AK194" i="22"/>
  <c r="AO194" i="22"/>
  <c r="AY194" i="22"/>
  <c r="BC194" i="22"/>
  <c r="BE194" i="22"/>
  <c r="BN194" i="22"/>
  <c r="BO194" i="22"/>
  <c r="BP194" i="22"/>
  <c r="BU194" i="22"/>
  <c r="BY194" i="22"/>
  <c r="BZ194" i="22"/>
  <c r="A195" i="22"/>
  <c r="J195" i="22"/>
  <c r="L195" i="22"/>
  <c r="P195" i="22"/>
  <c r="Z195" i="22"/>
  <c r="AD195" i="22"/>
  <c r="AH195" i="22"/>
  <c r="AK195" i="22"/>
  <c r="AM195" i="22"/>
  <c r="AO195" i="22"/>
  <c r="AQ195" i="22"/>
  <c r="AZ195" i="22"/>
  <c r="BA195" i="22"/>
  <c r="BG195" i="22"/>
  <c r="BI195" i="22"/>
  <c r="BN195" i="22"/>
  <c r="BU195" i="22"/>
  <c r="BV195" i="22"/>
  <c r="L196" i="22"/>
  <c r="N196" i="22"/>
  <c r="AD196" i="22"/>
  <c r="AF196" i="22"/>
  <c r="AU196" i="22"/>
  <c r="AY196" i="22"/>
  <c r="BA196" i="22"/>
  <c r="BR196" i="22"/>
  <c r="BU196" i="22"/>
  <c r="BX196" i="22"/>
  <c r="BY196" i="22"/>
  <c r="J197" i="22"/>
  <c r="P197" i="22"/>
  <c r="R197" i="22"/>
  <c r="W197" i="22"/>
  <c r="X197" i="22"/>
  <c r="AP197" i="22"/>
  <c r="AT197" i="22"/>
  <c r="AU197" i="22"/>
  <c r="AY197" i="22"/>
  <c r="BI197" i="22"/>
  <c r="BN197" i="22"/>
  <c r="BP197" i="22"/>
  <c r="BR197" i="22"/>
  <c r="BS197" i="22"/>
  <c r="E198" i="22"/>
  <c r="I198" i="22"/>
  <c r="K198" i="22"/>
  <c r="AB198" i="22"/>
  <c r="AD198" i="22"/>
  <c r="AI198" i="22"/>
  <c r="AK198" i="22"/>
  <c r="AL198" i="22"/>
  <c r="AS198" i="22"/>
  <c r="AY198" i="22"/>
  <c r="BK198" i="22"/>
  <c r="D199" i="22"/>
  <c r="F199" i="22"/>
  <c r="H199" i="22"/>
  <c r="W199" i="22"/>
  <c r="I200" i="22"/>
  <c r="AI200" i="22"/>
  <c r="X201" i="22"/>
  <c r="AL201" i="22"/>
  <c r="BF201" i="22"/>
  <c r="BN201" i="22"/>
  <c r="BO201" i="22"/>
  <c r="BT201" i="22"/>
  <c r="BW201" i="22"/>
  <c r="C202" i="22"/>
  <c r="D202" i="22"/>
  <c r="G202" i="22"/>
  <c r="H202" i="22"/>
  <c r="M202" i="22"/>
  <c r="AA202" i="22"/>
  <c r="AG202" i="22"/>
  <c r="F203" i="22"/>
  <c r="T203" i="22"/>
  <c r="Z203" i="22"/>
  <c r="AC203" i="22"/>
  <c r="AH203" i="22"/>
  <c r="AJ203" i="22"/>
  <c r="AP203" i="22"/>
  <c r="BK203" i="22"/>
  <c r="BO203" i="22"/>
  <c r="G204" i="22"/>
  <c r="X204" i="22"/>
  <c r="BD204" i="22"/>
  <c r="BF204" i="22"/>
  <c r="BT204" i="22"/>
  <c r="CA204" i="22"/>
  <c r="BY205" i="22"/>
  <c r="H177" i="22"/>
  <c r="P177" i="22"/>
  <c r="T177" i="22"/>
  <c r="X177" i="22"/>
  <c r="Z177" i="22"/>
  <c r="AA177" i="22"/>
  <c r="AF177" i="22"/>
  <c r="AG177" i="22"/>
  <c r="AJ177" i="22"/>
  <c r="AK177" i="22"/>
  <c r="AL177" i="22"/>
  <c r="AR177" i="22"/>
  <c r="AT177" i="22"/>
  <c r="AX177" i="22"/>
  <c r="BB177" i="22"/>
  <c r="BC177" i="22"/>
  <c r="BF177" i="22"/>
  <c r="BG177" i="22"/>
  <c r="BJ177" i="22"/>
  <c r="BK177" i="22"/>
  <c r="BO177" i="22"/>
  <c r="BV177" i="22"/>
  <c r="BZ177" i="22"/>
  <c r="CA177" i="22"/>
  <c r="A178" i="22"/>
  <c r="BK184" i="22"/>
  <c r="BU184" i="22"/>
  <c r="B185" i="22"/>
  <c r="D185" i="22"/>
  <c r="F185" i="22"/>
  <c r="J185" i="22"/>
  <c r="N185" i="22"/>
  <c r="T185" i="22"/>
  <c r="AY185" i="22"/>
  <c r="BA185" i="22"/>
  <c r="BC185" i="22"/>
  <c r="BL185" i="22"/>
  <c r="BM185" i="22"/>
  <c r="BN185" i="22"/>
  <c r="BQ185" i="22"/>
  <c r="BR185" i="22"/>
  <c r="BZ185" i="22"/>
  <c r="CA185" i="22"/>
  <c r="H186" i="22"/>
  <c r="M186" i="22"/>
  <c r="N186" i="22"/>
  <c r="P186" i="22"/>
  <c r="Y186" i="22"/>
  <c r="AE186" i="22"/>
  <c r="AF186" i="22"/>
  <c r="AU186" i="22"/>
  <c r="AZ186" i="22"/>
  <c r="BE186" i="22"/>
  <c r="BF186" i="22"/>
  <c r="BG186" i="22"/>
  <c r="BI186" i="22"/>
  <c r="BJ186" i="22"/>
  <c r="BK186" i="22"/>
  <c r="BP186" i="22"/>
  <c r="BT186" i="22"/>
  <c r="BV186" i="22"/>
  <c r="BX186" i="22"/>
  <c r="BY186" i="22"/>
  <c r="BZ186" i="22"/>
  <c r="CA186" i="22"/>
  <c r="CB186" i="22"/>
  <c r="A187" i="22"/>
  <c r="E187" i="22"/>
  <c r="F187" i="22"/>
  <c r="G187" i="22"/>
  <c r="H187" i="22"/>
  <c r="J187" i="22"/>
  <c r="M187" i="22"/>
  <c r="P187" i="22"/>
  <c r="R187" i="22"/>
  <c r="T187" i="22"/>
  <c r="Z187" i="22"/>
  <c r="AB187" i="22"/>
  <c r="AC187" i="22"/>
  <c r="AD187" i="22"/>
  <c r="AE187" i="22"/>
  <c r="AI187" i="22"/>
  <c r="AK187" i="22"/>
  <c r="AL187" i="22"/>
  <c r="AM187" i="22"/>
  <c r="AO187" i="22"/>
  <c r="AQ187" i="22"/>
  <c r="AS187" i="22"/>
  <c r="AT187" i="22"/>
  <c r="AZ187" i="22"/>
  <c r="BF192" i="22"/>
  <c r="BG192" i="22"/>
  <c r="BP192" i="22"/>
  <c r="BZ192" i="22"/>
  <c r="B193" i="22"/>
  <c r="J193" i="22"/>
  <c r="K193" i="22"/>
  <c r="M193" i="22"/>
  <c r="N193" i="22"/>
  <c r="O193" i="22"/>
  <c r="Q193" i="22"/>
  <c r="V193" i="22"/>
  <c r="AB193" i="22"/>
  <c r="AH193" i="22"/>
  <c r="BA193" i="22"/>
  <c r="BB193" i="22"/>
  <c r="BC193" i="22"/>
  <c r="BQ193" i="22"/>
  <c r="BR193" i="22"/>
  <c r="BS193" i="22"/>
  <c r="BY193" i="22"/>
  <c r="CA193" i="22"/>
  <c r="I194" i="22"/>
  <c r="T194" i="22"/>
  <c r="W194" i="22"/>
  <c r="AJ194" i="22"/>
  <c r="AM194" i="22"/>
  <c r="AN194" i="22"/>
  <c r="BQ194" i="22"/>
  <c r="BR194" i="22"/>
  <c r="O195" i="22"/>
  <c r="Q195" i="22"/>
  <c r="R195" i="22"/>
  <c r="AV195" i="22"/>
  <c r="AX195" i="22"/>
  <c r="BB195" i="22"/>
  <c r="BD195" i="22"/>
  <c r="BE195" i="22"/>
  <c r="BO195" i="22"/>
  <c r="C196" i="22"/>
  <c r="E196" i="22"/>
  <c r="J196" i="22"/>
  <c r="AH196" i="22"/>
  <c r="AJ196" i="22"/>
  <c r="AO196" i="22"/>
  <c r="AR196" i="22"/>
  <c r="AS196" i="22"/>
  <c r="AT196" i="22"/>
  <c r="BD196" i="22"/>
  <c r="BI196" i="22"/>
  <c r="BK196" i="22"/>
  <c r="BM196" i="22"/>
  <c r="BN196" i="22"/>
  <c r="BV196" i="22"/>
  <c r="D197" i="22"/>
  <c r="Q197" i="22"/>
  <c r="T197" i="22"/>
  <c r="AC197" i="22"/>
  <c r="AO197" i="22"/>
  <c r="AR197" i="22"/>
  <c r="AV197" i="22"/>
  <c r="BA197" i="22"/>
  <c r="BC197" i="22"/>
  <c r="BG197" i="22"/>
  <c r="G198" i="22"/>
  <c r="R198" i="22"/>
  <c r="AO198" i="22"/>
  <c r="AP198" i="22"/>
  <c r="AW198" i="22"/>
  <c r="BD198" i="22"/>
  <c r="BG198" i="22"/>
  <c r="BJ198" i="22"/>
  <c r="BW198" i="22"/>
  <c r="BZ198" i="22"/>
  <c r="CB198" i="22"/>
  <c r="S199" i="22"/>
  <c r="AI199" i="22"/>
  <c r="AG200" i="22"/>
  <c r="AL200" i="22"/>
  <c r="BW200" i="22"/>
  <c r="J201" i="22"/>
  <c r="AY203" i="22"/>
  <c r="BP203" i="22"/>
  <c r="BR203" i="22"/>
  <c r="A204" i="22"/>
  <c r="T204" i="22"/>
  <c r="AC204" i="22"/>
  <c r="AF204" i="22"/>
  <c r="AX204" i="22"/>
  <c r="BK204" i="22"/>
  <c r="BM204" i="22"/>
  <c r="BV204" i="22"/>
  <c r="G205" i="22"/>
  <c r="R205" i="22"/>
  <c r="I206" i="22"/>
  <c r="P206" i="22"/>
  <c r="BO187" i="22"/>
  <c r="BP187" i="22"/>
  <c r="BQ187" i="22"/>
  <c r="BR187" i="22"/>
  <c r="BS187" i="22"/>
  <c r="BT187" i="22"/>
  <c r="BU187" i="22"/>
  <c r="BV187" i="22"/>
  <c r="BW187" i="22"/>
  <c r="BX187" i="22"/>
  <c r="BY187" i="22"/>
  <c r="BZ187" i="22"/>
  <c r="CA187" i="22"/>
  <c r="CB187" i="22"/>
  <c r="A188" i="22"/>
  <c r="B188" i="22"/>
  <c r="C188" i="22"/>
  <c r="D188" i="22"/>
  <c r="E188" i="22"/>
  <c r="F188" i="22"/>
  <c r="G188" i="22"/>
  <c r="H188" i="22"/>
  <c r="I188" i="22"/>
  <c r="J188" i="22"/>
  <c r="K188" i="22"/>
  <c r="L188" i="22"/>
  <c r="M188" i="22"/>
  <c r="N188" i="22"/>
  <c r="O188" i="22"/>
  <c r="P188" i="22"/>
  <c r="Q188" i="22"/>
  <c r="R188" i="22"/>
  <c r="S188" i="22"/>
  <c r="T188" i="22"/>
  <c r="U188" i="22"/>
  <c r="V188" i="22"/>
  <c r="W188" i="22"/>
  <c r="X188" i="22"/>
  <c r="Y188" i="22"/>
  <c r="Z188" i="22"/>
  <c r="AA188" i="22"/>
  <c r="AB188" i="22"/>
  <c r="AC188" i="22"/>
  <c r="AD188" i="22"/>
  <c r="AE188" i="22"/>
  <c r="AF188" i="22"/>
  <c r="AG188" i="22"/>
  <c r="AH188" i="22"/>
  <c r="AI188" i="22"/>
  <c r="AJ188" i="22"/>
  <c r="AK188" i="22"/>
  <c r="AL188" i="22"/>
  <c r="AM188" i="22"/>
  <c r="AN188" i="22"/>
  <c r="AO188" i="22"/>
  <c r="AP188" i="22"/>
  <c r="AQ188" i="22"/>
  <c r="AR188" i="22"/>
  <c r="AS188" i="22"/>
  <c r="AT188" i="22"/>
  <c r="AU188" i="22"/>
  <c r="AV188" i="22"/>
  <c r="AW188" i="22"/>
  <c r="AX188" i="22"/>
  <c r="AY188" i="22"/>
  <c r="AZ188" i="22"/>
  <c r="BA188" i="22"/>
  <c r="BB188" i="22"/>
  <c r="BC188" i="22"/>
  <c r="BD188" i="22"/>
  <c r="BE188" i="22"/>
  <c r="BF188" i="22"/>
  <c r="BG188" i="22"/>
  <c r="BH188" i="22"/>
  <c r="BI188" i="22"/>
  <c r="BJ188" i="22"/>
  <c r="BK188" i="22"/>
  <c r="BL188" i="22"/>
  <c r="BM188" i="22"/>
  <c r="BN188" i="22"/>
  <c r="BO188" i="22"/>
  <c r="BP188" i="22"/>
  <c r="BQ188" i="22"/>
  <c r="BR188" i="22"/>
  <c r="BS188" i="22"/>
  <c r="BT188" i="22"/>
  <c r="BU188" i="22"/>
  <c r="BV188" i="22"/>
  <c r="BW188" i="22"/>
  <c r="BX188" i="22"/>
  <c r="BY188" i="22"/>
  <c r="BZ188" i="22"/>
  <c r="CA188" i="22"/>
  <c r="CB188" i="22"/>
  <c r="A189" i="22"/>
  <c r="B189" i="22"/>
  <c r="C189" i="22"/>
  <c r="D189" i="22"/>
  <c r="E189" i="22"/>
  <c r="F189" i="22"/>
  <c r="G189" i="22"/>
  <c r="H189" i="22"/>
  <c r="I189" i="22"/>
  <c r="J189" i="22"/>
  <c r="K189" i="22"/>
  <c r="L189" i="22"/>
  <c r="M189" i="22"/>
  <c r="N189" i="22"/>
  <c r="O189" i="22"/>
  <c r="P189" i="22"/>
  <c r="Q189" i="22"/>
  <c r="R189" i="22"/>
  <c r="S189" i="22"/>
  <c r="T189" i="22"/>
  <c r="U189" i="22"/>
  <c r="V189" i="22"/>
  <c r="W189" i="22"/>
  <c r="X189" i="22"/>
  <c r="Y189" i="22"/>
  <c r="Z189" i="22"/>
  <c r="AA189" i="22"/>
  <c r="AB189" i="22"/>
  <c r="AC189" i="22"/>
  <c r="AD189" i="22"/>
  <c r="AE189" i="22"/>
  <c r="AF189" i="22"/>
  <c r="AG189" i="22"/>
  <c r="AH189" i="22"/>
  <c r="AI189" i="22"/>
  <c r="AJ189" i="22"/>
  <c r="AK189" i="22"/>
  <c r="AL189" i="22"/>
  <c r="AM189" i="22"/>
  <c r="AN189" i="22"/>
  <c r="AO189" i="22"/>
  <c r="AP189" i="22"/>
  <c r="AQ189" i="22"/>
  <c r="AR189" i="22"/>
  <c r="AS189" i="22"/>
  <c r="AT189" i="22"/>
  <c r="AU189" i="22"/>
  <c r="AV189" i="22"/>
  <c r="AW189" i="22"/>
  <c r="AX189" i="22"/>
  <c r="AY189" i="22"/>
  <c r="AZ189" i="22"/>
  <c r="BA189" i="22"/>
  <c r="BB189" i="22"/>
  <c r="BC189" i="22"/>
  <c r="BD189" i="22"/>
  <c r="BE189" i="22"/>
  <c r="BF189" i="22"/>
  <c r="BG189" i="22"/>
  <c r="BH189" i="22"/>
  <c r="BI189" i="22"/>
  <c r="BJ189" i="22"/>
  <c r="BK189" i="22"/>
  <c r="BL189" i="22"/>
  <c r="BM189" i="22"/>
  <c r="BN189" i="22"/>
  <c r="BO189" i="22"/>
  <c r="BP189" i="22"/>
  <c r="BQ189" i="22"/>
  <c r="BR189" i="22"/>
  <c r="BS189" i="22"/>
  <c r="BT189" i="22"/>
  <c r="BU189" i="22"/>
  <c r="BV189" i="22"/>
  <c r="BW189" i="22"/>
  <c r="BX189" i="22"/>
  <c r="BY189" i="22"/>
  <c r="BZ189" i="22"/>
  <c r="CA189" i="22"/>
  <c r="CB189" i="22"/>
  <c r="A190" i="22"/>
  <c r="B190" i="22"/>
  <c r="C190" i="22"/>
  <c r="D190" i="22"/>
  <c r="E190" i="22"/>
  <c r="F190" i="22"/>
  <c r="G190" i="22"/>
  <c r="H190" i="22"/>
  <c r="I190" i="22"/>
  <c r="J190" i="22"/>
  <c r="K190" i="22"/>
  <c r="L190" i="22"/>
  <c r="M190" i="22"/>
  <c r="N190" i="22"/>
  <c r="O190" i="22"/>
  <c r="P190" i="22"/>
  <c r="Q190" i="22"/>
  <c r="R190" i="22"/>
  <c r="S190" i="22"/>
  <c r="T190" i="22"/>
  <c r="U190" i="22"/>
  <c r="V190" i="22"/>
  <c r="W190" i="22"/>
  <c r="X190" i="22"/>
  <c r="Y190" i="22"/>
  <c r="Z190" i="22"/>
  <c r="AA190" i="22"/>
  <c r="AB190" i="22"/>
  <c r="AC190" i="22"/>
  <c r="AD190" i="22"/>
  <c r="AE190" i="22"/>
  <c r="AF190" i="22"/>
  <c r="AG190" i="22"/>
  <c r="AH190" i="22"/>
  <c r="AI190" i="22"/>
  <c r="AJ190" i="22"/>
  <c r="AK190" i="22"/>
  <c r="AL190" i="22"/>
  <c r="AM190" i="22"/>
  <c r="AN190" i="22"/>
  <c r="AO190" i="22"/>
  <c r="AP190" i="22"/>
  <c r="AQ190" i="22"/>
  <c r="AR190" i="22"/>
  <c r="AS190" i="22"/>
  <c r="AT190" i="22"/>
  <c r="AU190" i="22"/>
  <c r="AV190" i="22"/>
  <c r="AW190" i="22"/>
  <c r="AX190" i="22"/>
  <c r="AY190" i="22"/>
  <c r="AZ190" i="22"/>
  <c r="BA190" i="22"/>
  <c r="BB190" i="22"/>
  <c r="BC190" i="22"/>
  <c r="BD190" i="22"/>
  <c r="BE190" i="22"/>
  <c r="BF190" i="22"/>
  <c r="BG190" i="22"/>
  <c r="BH190" i="22"/>
  <c r="BI190" i="22"/>
  <c r="BJ190" i="22"/>
  <c r="BK190" i="22"/>
  <c r="BL190" i="22"/>
  <c r="BM190" i="22"/>
  <c r="BN190" i="22"/>
  <c r="BO190" i="22"/>
  <c r="BP190" i="22"/>
  <c r="BQ190" i="22"/>
  <c r="BR190" i="22"/>
  <c r="BS190" i="22"/>
  <c r="BT190" i="22"/>
  <c r="BU190" i="22"/>
  <c r="BV190" i="22"/>
  <c r="BW190" i="22"/>
  <c r="BX190" i="22"/>
  <c r="BY190" i="22"/>
  <c r="BZ190" i="22"/>
  <c r="CA190" i="22"/>
  <c r="CB190" i="22"/>
  <c r="A191" i="22"/>
  <c r="B191" i="22"/>
  <c r="C191" i="22"/>
  <c r="D191" i="22"/>
  <c r="E191" i="22"/>
  <c r="F191" i="22"/>
  <c r="G191" i="22"/>
  <c r="H191" i="22"/>
  <c r="I191" i="22"/>
  <c r="J191" i="22"/>
  <c r="K191" i="22"/>
  <c r="L191" i="22"/>
  <c r="M191" i="22"/>
  <c r="N191" i="22"/>
  <c r="O191" i="22"/>
  <c r="P191" i="22"/>
  <c r="Q191" i="22"/>
  <c r="R191" i="22"/>
  <c r="S191" i="22"/>
  <c r="T191" i="22"/>
  <c r="U191" i="22"/>
  <c r="V191" i="22"/>
  <c r="W191" i="22"/>
  <c r="X191" i="22"/>
  <c r="Y191" i="22"/>
  <c r="Z191" i="22"/>
  <c r="AA191" i="22"/>
  <c r="AB191" i="22"/>
  <c r="AC191" i="22"/>
  <c r="AD191" i="22"/>
  <c r="AE191" i="22"/>
  <c r="AF191" i="22"/>
  <c r="AG191" i="22"/>
  <c r="AH191" i="22"/>
  <c r="AI191" i="22"/>
  <c r="AJ191" i="22"/>
  <c r="AK191" i="22"/>
  <c r="AL191" i="22"/>
  <c r="AM191" i="22"/>
  <c r="AN191" i="22"/>
  <c r="AO191" i="22"/>
  <c r="AP191" i="22"/>
  <c r="AQ191" i="22"/>
  <c r="AR191" i="22"/>
  <c r="AS191" i="22"/>
  <c r="AT191" i="22"/>
  <c r="AU191" i="22"/>
  <c r="AV191" i="22"/>
  <c r="AW191" i="22"/>
  <c r="AX191" i="22"/>
  <c r="AY191" i="22"/>
  <c r="AZ191" i="22"/>
  <c r="BA191" i="22"/>
  <c r="BB191" i="22"/>
  <c r="BC191" i="22"/>
  <c r="BD191" i="22"/>
  <c r="BE191" i="22"/>
  <c r="BF191" i="22"/>
  <c r="BG191" i="22"/>
  <c r="BH191" i="22"/>
  <c r="BI191" i="22"/>
  <c r="BJ191" i="22"/>
  <c r="BK191" i="22"/>
  <c r="BL191" i="22"/>
  <c r="BM191" i="22"/>
  <c r="BN191" i="22"/>
  <c r="BO191" i="22"/>
  <c r="BP191" i="22"/>
  <c r="BQ191" i="22"/>
  <c r="BR191" i="22"/>
  <c r="BS191" i="22"/>
  <c r="BT191" i="22"/>
  <c r="BU191" i="22"/>
  <c r="BV191" i="22"/>
  <c r="BW191" i="22"/>
  <c r="BX191" i="22"/>
  <c r="BY191" i="22"/>
  <c r="BZ191" i="22"/>
  <c r="CA191" i="22"/>
  <c r="CB191" i="22"/>
  <c r="A192" i="22"/>
  <c r="B192" i="22"/>
  <c r="C192" i="22"/>
  <c r="D192" i="22"/>
  <c r="E192" i="22"/>
  <c r="F192" i="22"/>
  <c r="G192" i="22"/>
  <c r="H192" i="22"/>
  <c r="I192" i="22"/>
  <c r="J192" i="22"/>
  <c r="K192" i="22"/>
  <c r="L192" i="22"/>
  <c r="M192" i="22"/>
  <c r="N192" i="22"/>
  <c r="O192" i="22"/>
  <c r="P192" i="22"/>
  <c r="Q192" i="22"/>
  <c r="R192" i="22"/>
  <c r="S192" i="22"/>
  <c r="T192" i="22"/>
  <c r="U192" i="22"/>
  <c r="V192" i="22"/>
  <c r="W192" i="22"/>
  <c r="X192" i="22"/>
  <c r="Y192" i="22"/>
  <c r="Z192" i="22"/>
  <c r="AA192" i="22"/>
  <c r="AB192" i="22"/>
  <c r="AC192" i="22"/>
  <c r="AD192" i="22"/>
  <c r="AE192" i="22"/>
  <c r="AF192" i="22"/>
  <c r="AG192" i="22"/>
  <c r="AH192" i="22"/>
  <c r="AI192" i="22"/>
  <c r="AJ192" i="22"/>
  <c r="AK192" i="22"/>
  <c r="AL192" i="22"/>
  <c r="AM192" i="22"/>
  <c r="AN192" i="22"/>
  <c r="AO192" i="22"/>
  <c r="AP192" i="22"/>
  <c r="AQ192" i="22"/>
  <c r="AX192" i="22"/>
  <c r="BE192" i="22"/>
  <c r="C193" i="22"/>
  <c r="Y193" i="22"/>
  <c r="Z193" i="22"/>
  <c r="AG193" i="22"/>
  <c r="AI193" i="22"/>
  <c r="AP193" i="22"/>
  <c r="AQ193" i="22"/>
  <c r="AY193" i="22"/>
  <c r="BG193" i="22"/>
  <c r="BP193" i="22"/>
  <c r="BT193" i="22"/>
  <c r="BU193" i="22"/>
  <c r="BV193" i="22"/>
  <c r="C194" i="22"/>
  <c r="AA194" i="22"/>
  <c r="AE194" i="22"/>
  <c r="AG194" i="22"/>
  <c r="AP194" i="22"/>
  <c r="AX194" i="22"/>
  <c r="BA194" i="22"/>
  <c r="BD194" i="22"/>
  <c r="BF194" i="22"/>
  <c r="BM194" i="22"/>
  <c r="CA194" i="22"/>
  <c r="B195" i="22"/>
  <c r="C195" i="22"/>
  <c r="H195" i="22"/>
  <c r="K195" i="22"/>
  <c r="M195" i="22"/>
  <c r="AC195" i="22"/>
  <c r="AE195" i="22"/>
  <c r="AG195" i="22"/>
  <c r="AI195" i="22"/>
  <c r="AL195" i="22"/>
  <c r="AN195" i="22"/>
  <c r="AR195" i="22"/>
  <c r="AT195" i="22"/>
  <c r="AY195" i="22"/>
  <c r="BC195" i="22"/>
  <c r="BF195" i="22"/>
  <c r="BJ195" i="22"/>
  <c r="BW195" i="22"/>
  <c r="M196" i="22"/>
  <c r="O196" i="22"/>
  <c r="T196" i="22"/>
  <c r="V196" i="22"/>
  <c r="AC196" i="22"/>
  <c r="AE196" i="22"/>
  <c r="AG196" i="22"/>
  <c r="AP196" i="22"/>
  <c r="AX196" i="22"/>
  <c r="AZ196" i="22"/>
  <c r="BH196" i="22"/>
  <c r="BL196" i="22"/>
  <c r="BQ196" i="22"/>
  <c r="BT196" i="22"/>
  <c r="BZ196" i="22"/>
  <c r="B197" i="22"/>
  <c r="F197" i="22"/>
  <c r="I197" i="22"/>
  <c r="L197" i="22"/>
  <c r="M197" i="22"/>
  <c r="V197" i="22"/>
  <c r="AD197" i="22"/>
  <c r="AH197" i="22"/>
  <c r="AJ197" i="22"/>
  <c r="AS197" i="22"/>
  <c r="AX197" i="22"/>
  <c r="AZ197" i="22"/>
  <c r="BH197" i="22"/>
  <c r="BK197" i="22"/>
  <c r="BO197" i="22"/>
  <c r="BQ197" i="22"/>
  <c r="CA197" i="22"/>
  <c r="D198" i="22"/>
  <c r="F198" i="22"/>
  <c r="AC198" i="22"/>
  <c r="AH198" i="22"/>
  <c r="AJ198" i="22"/>
  <c r="AM198" i="22"/>
  <c r="AR198" i="22"/>
  <c r="AT198" i="22"/>
  <c r="AV198" i="22"/>
  <c r="BH198" i="22"/>
  <c r="BI198" i="22"/>
  <c r="BL198" i="22"/>
  <c r="BO198" i="22"/>
  <c r="BP198" i="22"/>
  <c r="BX198" i="22"/>
  <c r="B199" i="22"/>
  <c r="C199" i="22"/>
  <c r="E199" i="22"/>
  <c r="I199" i="22"/>
  <c r="M199" i="22"/>
  <c r="AB199" i="22"/>
  <c r="J200" i="22"/>
  <c r="AZ200" i="22"/>
  <c r="AC201" i="22"/>
  <c r="AG201" i="22"/>
  <c r="AO201" i="22"/>
  <c r="AT201" i="22"/>
  <c r="AU201" i="22"/>
  <c r="BA201" i="22"/>
  <c r="BK201" i="22"/>
  <c r="BM201" i="22"/>
  <c r="BQ201" i="22"/>
  <c r="BY201" i="22"/>
  <c r="F202" i="22"/>
  <c r="N202" i="22"/>
  <c r="S202" i="22"/>
  <c r="AT202" i="22"/>
  <c r="E203" i="22"/>
  <c r="N203" i="22"/>
  <c r="Y203" i="22"/>
  <c r="AA203" i="22"/>
  <c r="AN203" i="22"/>
  <c r="AX203" i="22"/>
  <c r="BH203" i="22"/>
  <c r="BN203" i="22"/>
  <c r="D204" i="22"/>
  <c r="AH204" i="22"/>
  <c r="AN204" i="22"/>
  <c r="BG204" i="22"/>
  <c r="AN205" i="22"/>
  <c r="BX205" i="22"/>
  <c r="W206" i="22"/>
  <c r="X206" i="22"/>
  <c r="Y206" i="22"/>
  <c r="AB206" i="22"/>
  <c r="AC206" i="22"/>
  <c r="AE206" i="22"/>
  <c r="AJ206" i="22"/>
  <c r="AK206" i="22"/>
  <c r="AL206" i="22"/>
  <c r="AN206" i="22"/>
  <c r="AO206" i="22"/>
  <c r="AQ206" i="22"/>
  <c r="AR206" i="22"/>
  <c r="AS206" i="22"/>
  <c r="AT206" i="22"/>
  <c r="AU206" i="22"/>
  <c r="AV206" i="22"/>
  <c r="AX206" i="22"/>
  <c r="AY206" i="22"/>
  <c r="AZ206" i="22"/>
  <c r="BC206" i="22"/>
  <c r="BD206" i="22"/>
  <c r="BE206" i="22"/>
  <c r="BF206" i="22"/>
  <c r="BJ206" i="22"/>
  <c r="BL206" i="22"/>
  <c r="BM206" i="22"/>
  <c r="BN206" i="22"/>
  <c r="BO206" i="22"/>
  <c r="H207" i="22"/>
  <c r="I207" i="22"/>
  <c r="J207" i="22"/>
  <c r="L207" i="22"/>
  <c r="Q207" i="22"/>
  <c r="S207" i="22"/>
  <c r="T207" i="22"/>
  <c r="U207" i="22"/>
  <c r="W207" i="22"/>
  <c r="Z207" i="22"/>
  <c r="AD207" i="22"/>
  <c r="AE207" i="22"/>
  <c r="AF207" i="22"/>
  <c r="AP207" i="22"/>
  <c r="AQ207" i="22"/>
  <c r="AT207" i="22"/>
  <c r="AV207" i="22"/>
  <c r="AZ207" i="22"/>
  <c r="BB207" i="22"/>
  <c r="BE207" i="22"/>
  <c r="BQ207" i="22"/>
  <c r="A208" i="22"/>
  <c r="D208" i="22"/>
  <c r="I208" i="22"/>
  <c r="O208" i="22"/>
  <c r="T208" i="22"/>
  <c r="AI208" i="22"/>
  <c r="AS208" i="22"/>
  <c r="AT208" i="22"/>
  <c r="AW208" i="22"/>
  <c r="BB208" i="22"/>
  <c r="BC208" i="22"/>
  <c r="BG208" i="22"/>
  <c r="BK208" i="22"/>
  <c r="BL208" i="22"/>
  <c r="BQ208" i="22"/>
  <c r="BT208" i="22"/>
  <c r="BV208" i="22"/>
  <c r="BW208" i="22"/>
  <c r="BY208" i="22"/>
  <c r="B209" i="22"/>
  <c r="F209" i="22"/>
  <c r="I209" i="22"/>
  <c r="J209" i="22"/>
  <c r="K209" i="22"/>
  <c r="M209" i="22"/>
  <c r="N209" i="22"/>
  <c r="O209" i="22"/>
  <c r="P209" i="22"/>
  <c r="Q209" i="22"/>
  <c r="S209" i="22"/>
  <c r="U209" i="22"/>
  <c r="X209" i="22"/>
  <c r="Y209" i="22"/>
  <c r="AC209" i="22"/>
  <c r="AD209" i="22"/>
  <c r="AF209" i="22"/>
  <c r="AG209" i="22"/>
  <c r="AH209" i="22"/>
  <c r="AK209" i="22"/>
  <c r="AM209" i="22"/>
  <c r="AN209" i="22"/>
  <c r="AO209" i="22"/>
  <c r="AP209" i="22"/>
  <c r="AS209" i="22"/>
  <c r="AU209" i="22"/>
  <c r="AV209" i="22"/>
  <c r="AW209" i="22"/>
  <c r="AX209" i="22"/>
  <c r="BB209" i="22"/>
  <c r="BC209" i="22"/>
  <c r="BG209" i="22"/>
  <c r="BH209" i="22"/>
  <c r="BJ209" i="22"/>
  <c r="BK209" i="22"/>
  <c r="BL209" i="22"/>
  <c r="BM209" i="22"/>
  <c r="BN209" i="22"/>
  <c r="CA210" i="22"/>
  <c r="CB210" i="22"/>
  <c r="A211" i="22"/>
  <c r="D211" i="22"/>
  <c r="E211" i="22"/>
  <c r="F211" i="22"/>
  <c r="J211" i="22"/>
  <c r="K211" i="22"/>
  <c r="N211" i="22"/>
  <c r="Q211" i="22"/>
  <c r="S211" i="22"/>
  <c r="U211" i="22"/>
  <c r="X211" i="22"/>
  <c r="Z211" i="22"/>
  <c r="AA211" i="22"/>
  <c r="AB211" i="22"/>
  <c r="AC211" i="22"/>
  <c r="AD211" i="22"/>
  <c r="AE211" i="22"/>
  <c r="AG211" i="22"/>
  <c r="AL211" i="22"/>
  <c r="AP211" i="22"/>
  <c r="AR211" i="22"/>
  <c r="AW211" i="22"/>
  <c r="AX211" i="22"/>
  <c r="BB211" i="22"/>
  <c r="BD211" i="22"/>
  <c r="BF211" i="22"/>
  <c r="BI211" i="22"/>
  <c r="BM211" i="22"/>
  <c r="BN211" i="22"/>
  <c r="BO211" i="22"/>
  <c r="BP211" i="22"/>
  <c r="BQ211" i="22"/>
  <c r="BR211" i="22"/>
  <c r="BS211" i="22"/>
  <c r="BT211" i="22"/>
  <c r="BU211" i="22"/>
  <c r="BV211" i="22"/>
  <c r="BW211" i="22"/>
  <c r="BX211" i="22"/>
  <c r="BY211" i="22"/>
  <c r="A212" i="22"/>
  <c r="B212" i="22"/>
  <c r="C212" i="22"/>
  <c r="D212" i="22"/>
  <c r="E212" i="22"/>
  <c r="F212" i="22"/>
  <c r="G212" i="22"/>
  <c r="H212" i="22"/>
  <c r="AB212" i="22"/>
  <c r="AD212" i="22"/>
  <c r="AE212" i="22"/>
  <c r="AJ212" i="22"/>
  <c r="AK212" i="22"/>
  <c r="AL212" i="22"/>
  <c r="AN212" i="22"/>
  <c r="AO212" i="22"/>
  <c r="AP212" i="22"/>
  <c r="AQ212" i="22"/>
  <c r="AY212" i="22"/>
  <c r="AZ212" i="22"/>
  <c r="BB212" i="22"/>
  <c r="BC212" i="22"/>
  <c r="BD212" i="22"/>
  <c r="BE212" i="22"/>
  <c r="BF212" i="22"/>
  <c r="BG212" i="22"/>
  <c r="BH212" i="22"/>
  <c r="BI212" i="22"/>
  <c r="BM212" i="22"/>
  <c r="BO212" i="22"/>
  <c r="BR212" i="22"/>
  <c r="BU212" i="22"/>
  <c r="BW212" i="22"/>
  <c r="BX212" i="22"/>
  <c r="A213" i="22"/>
  <c r="C213" i="22"/>
  <c r="E213" i="22"/>
  <c r="G213" i="22"/>
  <c r="H213" i="22"/>
  <c r="I213" i="22"/>
  <c r="J213" i="22"/>
  <c r="N213" i="22"/>
  <c r="O213" i="22"/>
  <c r="P213" i="22"/>
  <c r="R213" i="22"/>
  <c r="S213" i="22"/>
  <c r="U213" i="22"/>
  <c r="V213" i="22"/>
  <c r="W213" i="22"/>
  <c r="Y213" i="22"/>
  <c r="AA213" i="22"/>
  <c r="AG213" i="22"/>
  <c r="AJ213" i="22"/>
  <c r="AL213" i="22"/>
  <c r="AO213" i="22"/>
  <c r="AQ213" i="22"/>
  <c r="AS213" i="22"/>
  <c r="AT213" i="22"/>
  <c r="AV213" i="22"/>
  <c r="AX213" i="22"/>
  <c r="BA213" i="22"/>
  <c r="BD213" i="22"/>
  <c r="BI213" i="22"/>
  <c r="BK213" i="22"/>
  <c r="BL213" i="22"/>
  <c r="BN213" i="22"/>
  <c r="BP213" i="22"/>
  <c r="BQ213" i="22"/>
  <c r="BW213" i="22"/>
  <c r="CB213" i="22"/>
  <c r="A214" i="22"/>
  <c r="D214" i="22"/>
  <c r="F214" i="22"/>
  <c r="H214" i="22"/>
  <c r="J214" i="22"/>
  <c r="M214" i="22"/>
  <c r="P214" i="22"/>
  <c r="S214" i="22"/>
  <c r="V214" i="22"/>
  <c r="X214" i="22"/>
  <c r="Y214" i="22"/>
  <c r="AB214" i="22"/>
  <c r="AF214" i="22"/>
  <c r="AI214" i="22"/>
  <c r="AK214" i="22"/>
  <c r="AO214" i="22"/>
  <c r="AQ214" i="22"/>
  <c r="AU214" i="22"/>
  <c r="AW214" i="22"/>
  <c r="BE214" i="22"/>
  <c r="BK214" i="22"/>
  <c r="BN214" i="22"/>
  <c r="BO214" i="22"/>
  <c r="BP214" i="22"/>
  <c r="BQ214" i="22"/>
  <c r="BR214" i="22"/>
  <c r="BS214" i="22"/>
  <c r="BT214" i="22"/>
  <c r="BU214" i="22"/>
  <c r="BZ214" i="22"/>
  <c r="CA214" i="22"/>
  <c r="A215" i="22"/>
  <c r="C215" i="22"/>
  <c r="D215" i="22"/>
  <c r="E215" i="22"/>
  <c r="G215" i="22"/>
  <c r="H215" i="22"/>
  <c r="J215" i="22"/>
  <c r="L215" i="22"/>
  <c r="T215" i="22"/>
  <c r="X215" i="22"/>
  <c r="AD215" i="22"/>
  <c r="AF215" i="22"/>
  <c r="AG215" i="22"/>
  <c r="AI215" i="22"/>
  <c r="AL215" i="22"/>
  <c r="AO215" i="22"/>
  <c r="AP215" i="22"/>
  <c r="AQ215" i="22"/>
  <c r="AR215" i="22"/>
  <c r="AS215" i="22"/>
  <c r="AT215" i="22"/>
  <c r="AU215" i="22"/>
  <c r="AV215" i="22"/>
  <c r="AY215" i="22"/>
  <c r="BA215" i="22"/>
  <c r="BG215" i="22"/>
  <c r="BH215" i="22"/>
  <c r="BI215" i="22"/>
  <c r="R216" i="22"/>
  <c r="U216" i="22"/>
  <c r="V216" i="22"/>
  <c r="W216" i="22"/>
  <c r="X216" i="22"/>
  <c r="Y216" i="22"/>
  <c r="AH216" i="22"/>
  <c r="AL216" i="22"/>
  <c r="AP216" i="22"/>
  <c r="AW216" i="22"/>
  <c r="AX216" i="22"/>
  <c r="BB216" i="22"/>
  <c r="BC216" i="22"/>
  <c r="BD216" i="22"/>
  <c r="BG216" i="22"/>
  <c r="BI216" i="22"/>
  <c r="BM216" i="22"/>
  <c r="BQ216" i="22"/>
  <c r="BR216" i="22"/>
  <c r="BS216" i="22"/>
  <c r="BT216" i="22"/>
  <c r="BV216" i="22"/>
  <c r="CB216" i="22"/>
  <c r="A217" i="22"/>
  <c r="E217" i="22"/>
  <c r="G217" i="22"/>
  <c r="I217" i="22"/>
  <c r="L217" i="22"/>
  <c r="M217" i="22"/>
  <c r="N217" i="22"/>
  <c r="O217" i="22"/>
  <c r="P217" i="22"/>
  <c r="Q217" i="22"/>
  <c r="R217" i="22"/>
  <c r="T217" i="22"/>
  <c r="V217" i="22"/>
  <c r="AC217" i="22"/>
  <c r="AE217" i="22"/>
  <c r="AF217" i="22"/>
  <c r="AI217" i="22"/>
  <c r="AJ217" i="22"/>
  <c r="AL217" i="22"/>
  <c r="AN217" i="22"/>
  <c r="AQ217" i="22"/>
  <c r="AT217" i="22"/>
  <c r="AU217" i="22"/>
  <c r="AV217" i="22"/>
  <c r="AW217" i="22"/>
  <c r="AX217" i="22"/>
  <c r="AY217" i="22"/>
  <c r="BA217" i="22"/>
  <c r="BC217" i="22"/>
  <c r="BE217" i="22"/>
  <c r="BH217" i="22"/>
  <c r="BP217" i="22"/>
  <c r="BT217" i="22"/>
  <c r="O225" i="22"/>
  <c r="T225" i="22"/>
  <c r="U225" i="22"/>
  <c r="W225" i="22"/>
  <c r="X225" i="22"/>
  <c r="Y225" i="22"/>
  <c r="Z225" i="22"/>
  <c r="AA225" i="22"/>
  <c r="AD225" i="22"/>
  <c r="AE225" i="22"/>
  <c r="AG225" i="22"/>
  <c r="AH225" i="22"/>
  <c r="AI225" i="22"/>
  <c r="AJ225" i="22"/>
  <c r="AL225" i="22"/>
  <c r="AQ225" i="22"/>
  <c r="BB225" i="22"/>
  <c r="BC225" i="22"/>
  <c r="BF225" i="22"/>
  <c r="BG225" i="22"/>
  <c r="BP225" i="22"/>
  <c r="BQ225" i="22"/>
  <c r="BS225" i="22"/>
  <c r="CA225" i="22"/>
  <c r="CB225" i="22"/>
  <c r="A226" i="22"/>
  <c r="B226" i="22"/>
  <c r="C226" i="22"/>
  <c r="E226" i="22"/>
  <c r="AJ226" i="22"/>
  <c r="AL226" i="22"/>
  <c r="AM226" i="22"/>
  <c r="AN226" i="22"/>
  <c r="AQ226" i="22"/>
  <c r="AW226" i="22"/>
  <c r="AY226" i="22"/>
  <c r="BC226" i="22"/>
  <c r="BD226" i="22"/>
  <c r="BE226" i="22"/>
  <c r="BI226" i="22"/>
  <c r="BR226" i="22"/>
  <c r="BS226" i="22"/>
  <c r="BW226" i="22"/>
  <c r="BX226" i="22"/>
  <c r="BY226" i="22"/>
  <c r="BZ226" i="22"/>
  <c r="CA226" i="22"/>
  <c r="A227" i="22"/>
  <c r="E227" i="22"/>
  <c r="F227" i="22"/>
  <c r="M227" i="22"/>
  <c r="N227" i="22"/>
  <c r="O227" i="22"/>
  <c r="P227" i="22"/>
  <c r="Q227" i="22"/>
  <c r="S227" i="22"/>
  <c r="Z227" i="22"/>
  <c r="AB227" i="22"/>
  <c r="AC227" i="22"/>
  <c r="AH227" i="22"/>
  <c r="AN227" i="22"/>
  <c r="AO227" i="22"/>
  <c r="BA227" i="22"/>
  <c r="BR227" i="22"/>
  <c r="BW227" i="22"/>
  <c r="CA227" i="22"/>
  <c r="B228" i="22"/>
  <c r="D228" i="22"/>
  <c r="E228" i="22"/>
  <c r="F228" i="22"/>
  <c r="H228" i="22"/>
  <c r="I228" i="22"/>
  <c r="J228" i="22"/>
  <c r="K228" i="22"/>
  <c r="L228" i="22"/>
  <c r="M228" i="22"/>
  <c r="O228" i="22"/>
  <c r="R228" i="22"/>
  <c r="T228" i="22"/>
  <c r="Z228" i="22"/>
  <c r="AA228" i="22"/>
  <c r="AB228" i="22"/>
  <c r="AG228" i="22"/>
  <c r="AH228" i="22"/>
  <c r="AK228" i="22"/>
  <c r="AL228" i="22"/>
  <c r="AS228" i="22"/>
  <c r="AU228" i="22"/>
  <c r="BD228" i="22"/>
  <c r="BG228" i="22"/>
  <c r="BH228" i="22"/>
  <c r="BJ228" i="22"/>
  <c r="BK228" i="22"/>
  <c r="BL228" i="22"/>
  <c r="BQ228" i="22"/>
  <c r="BS228" i="22"/>
  <c r="BU228" i="22"/>
  <c r="BV228" i="22"/>
  <c r="BW228" i="22"/>
  <c r="BX228" i="22"/>
  <c r="BY228" i="22"/>
  <c r="CA228" i="22"/>
  <c r="CB228" i="22"/>
  <c r="Y204" i="22"/>
  <c r="Z204" i="22"/>
  <c r="AD204" i="22"/>
  <c r="AG204" i="22"/>
  <c r="AI204" i="22"/>
  <c r="AJ204" i="22"/>
  <c r="AK204" i="22"/>
  <c r="AL204" i="22"/>
  <c r="AQ204" i="22"/>
  <c r="AR204" i="22"/>
  <c r="AS204" i="22"/>
  <c r="AV204" i="22"/>
  <c r="AW204" i="22"/>
  <c r="BJ204" i="22"/>
  <c r="BL204" i="22"/>
  <c r="BN204" i="22"/>
  <c r="BQ204" i="22"/>
  <c r="BR204" i="22"/>
  <c r="BU204" i="22"/>
  <c r="BW204" i="22"/>
  <c r="BX204" i="22"/>
  <c r="BZ204" i="22"/>
  <c r="A205" i="22"/>
  <c r="B205" i="22"/>
  <c r="C205" i="22"/>
  <c r="D205" i="22"/>
  <c r="E205" i="22"/>
  <c r="I205" i="22"/>
  <c r="J205" i="22"/>
  <c r="L205" i="22"/>
  <c r="N205" i="22"/>
  <c r="O205" i="22"/>
  <c r="S205" i="22"/>
  <c r="U205" i="22"/>
  <c r="W205" i="22"/>
  <c r="AA205" i="22"/>
  <c r="AC205" i="22"/>
  <c r="AF205" i="22"/>
  <c r="AG205" i="22"/>
  <c r="AK205" i="22"/>
  <c r="AL205" i="22"/>
  <c r="AQ205" i="22"/>
  <c r="AR205" i="22"/>
  <c r="AT205" i="22"/>
  <c r="AU205" i="22"/>
  <c r="AV205" i="22"/>
  <c r="AW205" i="22"/>
  <c r="AX205" i="22"/>
  <c r="AZ205" i="22"/>
  <c r="BA205" i="22"/>
  <c r="BH205" i="22"/>
  <c r="BI205" i="22"/>
  <c r="BL205" i="22"/>
  <c r="BN205" i="22"/>
  <c r="BP205" i="22"/>
  <c r="BQ205" i="22"/>
  <c r="BS205" i="22"/>
  <c r="BT205" i="22"/>
  <c r="BU205" i="22"/>
  <c r="BZ205" i="22"/>
  <c r="B206" i="22"/>
  <c r="C206" i="22"/>
  <c r="D206" i="22"/>
  <c r="E206" i="22"/>
  <c r="G206" i="22"/>
  <c r="L206" i="22"/>
  <c r="Q206" i="22"/>
  <c r="S206" i="22"/>
  <c r="Z206" i="22"/>
  <c r="AD206" i="22"/>
  <c r="AF206" i="22"/>
  <c r="AG206" i="22"/>
  <c r="AH206" i="22"/>
  <c r="AI206" i="22"/>
  <c r="AM206" i="22"/>
  <c r="BB206" i="22"/>
  <c r="BG206" i="22"/>
  <c r="BK206" i="22"/>
  <c r="BP206" i="22"/>
  <c r="BQ206" i="22"/>
  <c r="BR206" i="22"/>
  <c r="BS206" i="22"/>
  <c r="BT206" i="22"/>
  <c r="BU206" i="22"/>
  <c r="BV206" i="22"/>
  <c r="BW206" i="22"/>
  <c r="BX206" i="22"/>
  <c r="BY206" i="22"/>
  <c r="BZ206" i="22"/>
  <c r="O207" i="22"/>
  <c r="P207" i="22"/>
  <c r="AB207" i="22"/>
  <c r="AG207" i="22"/>
  <c r="AJ207" i="22"/>
  <c r="AR207" i="22"/>
  <c r="AS207" i="22"/>
  <c r="AU207" i="22"/>
  <c r="AX207" i="22"/>
  <c r="BC207" i="22"/>
  <c r="BD207" i="22"/>
  <c r="BH207" i="22"/>
  <c r="BI207" i="22"/>
  <c r="BJ207" i="22"/>
  <c r="BR207" i="22"/>
  <c r="BS207" i="22"/>
  <c r="BX207" i="22"/>
  <c r="BY207" i="22"/>
  <c r="BZ207" i="22"/>
  <c r="CA207" i="22"/>
  <c r="CB207" i="22"/>
  <c r="B208" i="22"/>
  <c r="F208" i="22"/>
  <c r="G208" i="22"/>
  <c r="K208" i="22"/>
  <c r="L208" i="22"/>
  <c r="M208" i="22"/>
  <c r="N208" i="22"/>
  <c r="V208" i="22"/>
  <c r="W208" i="22"/>
  <c r="X208" i="22"/>
  <c r="Y208" i="22"/>
  <c r="Z208" i="22"/>
  <c r="AA208" i="22"/>
  <c r="AD208" i="22"/>
  <c r="AF208" i="22"/>
  <c r="AG208" i="22"/>
  <c r="AH208" i="22"/>
  <c r="AM208" i="22"/>
  <c r="AN208" i="22"/>
  <c r="AO208" i="22"/>
  <c r="AP208" i="22"/>
  <c r="AR208" i="22"/>
  <c r="AU208" i="22"/>
  <c r="AY208" i="22"/>
  <c r="BL215" i="22"/>
  <c r="BM215" i="22"/>
  <c r="BR215" i="22"/>
  <c r="BU215" i="22"/>
  <c r="BW215" i="22"/>
  <c r="BX215" i="22"/>
  <c r="A216" i="22"/>
  <c r="M216" i="22"/>
  <c r="S216" i="22"/>
  <c r="AC216" i="22"/>
  <c r="AE216" i="22"/>
  <c r="AF216" i="22"/>
  <c r="AG216" i="22"/>
  <c r="AI216" i="22"/>
  <c r="AJ216" i="22"/>
  <c r="AK216" i="22"/>
  <c r="AM216" i="22"/>
  <c r="AO216" i="22"/>
  <c r="AQ216" i="22"/>
  <c r="AR216" i="22"/>
  <c r="AS216" i="22"/>
  <c r="AZ216" i="22"/>
  <c r="BA216" i="22"/>
  <c r="BF216" i="22"/>
  <c r="BH216" i="22"/>
  <c r="BJ216" i="22"/>
  <c r="BK216" i="22"/>
  <c r="BL216" i="22"/>
  <c r="BN216" i="22"/>
  <c r="BP216" i="22"/>
  <c r="BV221" i="22"/>
  <c r="BW221" i="22"/>
  <c r="BX221" i="22"/>
  <c r="BY221" i="22"/>
  <c r="BZ221" i="22"/>
  <c r="CA221" i="22"/>
  <c r="CB221" i="22"/>
  <c r="A222" i="22"/>
  <c r="B222" i="22"/>
  <c r="C222" i="22"/>
  <c r="D222" i="22"/>
  <c r="E222" i="22"/>
  <c r="F222" i="22"/>
  <c r="G222" i="22"/>
  <c r="H222" i="22"/>
  <c r="I222" i="22"/>
  <c r="J222" i="22"/>
  <c r="K222" i="22"/>
  <c r="L222" i="22"/>
  <c r="M222" i="22"/>
  <c r="N222" i="22"/>
  <c r="O222" i="22"/>
  <c r="P222" i="22"/>
  <c r="Q222" i="22"/>
  <c r="R222" i="22"/>
  <c r="S222" i="22"/>
  <c r="T222" i="22"/>
  <c r="U222" i="22"/>
  <c r="V222" i="22"/>
  <c r="W222" i="22"/>
  <c r="X222" i="22"/>
  <c r="Y222" i="22"/>
  <c r="Z222" i="22"/>
  <c r="AA222" i="22"/>
  <c r="AB222" i="22"/>
  <c r="AC222" i="22"/>
  <c r="AD222" i="22"/>
  <c r="AE222" i="22"/>
  <c r="AF222" i="22"/>
  <c r="AG222" i="22"/>
  <c r="AH222" i="22"/>
  <c r="AI222" i="22"/>
  <c r="AJ222" i="22"/>
  <c r="AK222" i="22"/>
  <c r="AL222" i="22"/>
  <c r="AM222" i="22"/>
  <c r="AN222" i="22"/>
  <c r="AO222" i="22"/>
  <c r="AP222" i="22"/>
  <c r="AQ222" i="22"/>
  <c r="AR222" i="22"/>
  <c r="AS222" i="22"/>
  <c r="AT222" i="22"/>
  <c r="AU222" i="22"/>
  <c r="AV222" i="22"/>
  <c r="AW222" i="22"/>
  <c r="AX222" i="22"/>
  <c r="AY222" i="22"/>
  <c r="AZ222" i="22"/>
  <c r="BA222" i="22"/>
  <c r="BB222" i="22"/>
  <c r="BC222" i="22"/>
  <c r="BD222" i="22"/>
  <c r="BE222" i="22"/>
  <c r="BF222" i="22"/>
  <c r="BG222" i="22"/>
  <c r="BH222" i="22"/>
  <c r="BI222" i="22"/>
  <c r="BJ222" i="22"/>
  <c r="BK222" i="22"/>
  <c r="BL222" i="22"/>
  <c r="BM222" i="22"/>
  <c r="BN222" i="22"/>
  <c r="BO222" i="22"/>
  <c r="BP222" i="22"/>
  <c r="BQ222" i="22"/>
  <c r="BR222" i="22"/>
  <c r="BS222" i="22"/>
  <c r="BT222" i="22"/>
  <c r="BU222" i="22"/>
  <c r="BV222" i="22"/>
  <c r="BW222" i="22"/>
  <c r="BX222" i="22"/>
  <c r="BY222" i="22"/>
  <c r="BZ222" i="22"/>
  <c r="CA222" i="22"/>
  <c r="CB222" i="22"/>
  <c r="A223" i="22"/>
  <c r="B223" i="22"/>
  <c r="C223" i="22"/>
  <c r="D223" i="22"/>
  <c r="E223" i="22"/>
  <c r="F223" i="22"/>
  <c r="G223" i="22"/>
  <c r="H223" i="22"/>
  <c r="I223" i="22"/>
  <c r="J223" i="22"/>
  <c r="K223" i="22"/>
  <c r="L223" i="22"/>
  <c r="M223" i="22"/>
  <c r="N223" i="22"/>
  <c r="O223" i="22"/>
  <c r="P223" i="22"/>
  <c r="Q223" i="22"/>
  <c r="R223" i="22"/>
  <c r="S223" i="22"/>
  <c r="T223" i="22"/>
  <c r="U223" i="22"/>
  <c r="V223" i="22"/>
  <c r="W223" i="22"/>
  <c r="X223" i="22"/>
  <c r="Y223" i="22"/>
  <c r="Z223" i="22"/>
  <c r="AA223" i="22"/>
  <c r="AB223" i="22"/>
  <c r="AC223" i="22"/>
  <c r="AD223" i="22"/>
  <c r="AE223" i="22"/>
  <c r="AF223" i="22"/>
  <c r="AG223" i="22"/>
  <c r="AH223" i="22"/>
  <c r="AI223" i="22"/>
  <c r="AJ223" i="22"/>
  <c r="AK223" i="22"/>
  <c r="AL223" i="22"/>
  <c r="AM223" i="22"/>
  <c r="AN223" i="22"/>
  <c r="AO223" i="22"/>
  <c r="AP223" i="22"/>
  <c r="AQ223" i="22"/>
  <c r="AR223" i="22"/>
  <c r="AS223" i="22"/>
  <c r="AT223" i="22"/>
  <c r="AU223" i="22"/>
  <c r="AV223" i="22"/>
  <c r="AW223" i="22"/>
  <c r="AX223" i="22"/>
  <c r="AY223" i="22"/>
  <c r="AZ223" i="22"/>
  <c r="BA223" i="22"/>
  <c r="BB223" i="22"/>
  <c r="BC223" i="22"/>
  <c r="BD223" i="22"/>
  <c r="BE223" i="22"/>
  <c r="BF223" i="22"/>
  <c r="BG223" i="22"/>
  <c r="BH223" i="22"/>
  <c r="BI223" i="22"/>
  <c r="BJ223" i="22"/>
  <c r="BK223" i="22"/>
  <c r="BL223" i="22"/>
  <c r="BM223" i="22"/>
  <c r="BN223" i="22"/>
  <c r="BO223" i="22"/>
  <c r="BP223" i="22"/>
  <c r="BQ223" i="22"/>
  <c r="BR223" i="22"/>
  <c r="BS223" i="22"/>
  <c r="BT223" i="22"/>
  <c r="BU223" i="22"/>
  <c r="BV223" i="22"/>
  <c r="BW223" i="22"/>
  <c r="BX223" i="22"/>
  <c r="BY223" i="22"/>
  <c r="BZ223" i="22"/>
  <c r="CA223" i="22"/>
  <c r="CB223" i="22"/>
  <c r="A224" i="22"/>
  <c r="B224" i="22"/>
  <c r="C224" i="22"/>
  <c r="D224" i="22"/>
  <c r="E224" i="22"/>
  <c r="F224" i="22"/>
  <c r="G224" i="22"/>
  <c r="H224" i="22"/>
  <c r="I224" i="22"/>
  <c r="J224" i="22"/>
  <c r="K224" i="22"/>
  <c r="L224" i="22"/>
  <c r="M224" i="22"/>
  <c r="N224" i="22"/>
  <c r="O224" i="22"/>
  <c r="P224" i="22"/>
  <c r="Q224" i="22"/>
  <c r="R224" i="22"/>
  <c r="S224" i="22"/>
  <c r="T224" i="22"/>
  <c r="U224" i="22"/>
  <c r="V224" i="22"/>
  <c r="W224" i="22"/>
  <c r="X224" i="22"/>
  <c r="Y224" i="22"/>
  <c r="Z224" i="22"/>
  <c r="AA224" i="22"/>
  <c r="AB224" i="22"/>
  <c r="AC224" i="22"/>
  <c r="AD224" i="22"/>
  <c r="AE224" i="22"/>
  <c r="AF224" i="22"/>
  <c r="AG224" i="22"/>
  <c r="AH224" i="22"/>
  <c r="AI224" i="22"/>
  <c r="AJ224" i="22"/>
  <c r="AK224" i="22"/>
  <c r="AL224" i="22"/>
  <c r="AM224" i="22"/>
  <c r="AN224" i="22"/>
  <c r="AO224" i="22"/>
  <c r="AP224" i="22"/>
  <c r="AQ224" i="22"/>
  <c r="AR224" i="22"/>
  <c r="AS224" i="22"/>
  <c r="AT224" i="22"/>
  <c r="AU224" i="22"/>
  <c r="AV224" i="22"/>
  <c r="AW224" i="22"/>
  <c r="AX224" i="22"/>
  <c r="AY224" i="22"/>
  <c r="AZ224" i="22"/>
  <c r="BA224" i="22"/>
  <c r="BB224" i="22"/>
  <c r="BC224" i="22"/>
  <c r="BD224" i="22"/>
  <c r="BE224" i="22"/>
  <c r="BF224" i="22"/>
  <c r="BG224" i="22"/>
  <c r="BH224" i="22"/>
  <c r="BI224" i="22"/>
  <c r="BJ224" i="22"/>
  <c r="BK224" i="22"/>
  <c r="BL224" i="22"/>
  <c r="BM224" i="22"/>
  <c r="BN224" i="22"/>
  <c r="BO224" i="22"/>
  <c r="BP224" i="22"/>
  <c r="BQ224" i="22"/>
  <c r="BR224" i="22"/>
  <c r="BS224" i="22"/>
  <c r="BT224" i="22"/>
  <c r="BU224" i="22"/>
  <c r="BV224" i="22"/>
  <c r="BW224" i="22"/>
  <c r="BX224" i="22"/>
  <c r="BY224" i="22"/>
  <c r="BZ224" i="22"/>
  <c r="CA224" i="22"/>
  <c r="CB224" i="22"/>
  <c r="A225" i="22"/>
  <c r="B225" i="22"/>
  <c r="C225" i="22"/>
  <c r="D225" i="22"/>
  <c r="E225" i="22"/>
  <c r="F225" i="22"/>
  <c r="G225" i="22"/>
  <c r="H225" i="22"/>
  <c r="I225" i="22"/>
  <c r="J225" i="22"/>
  <c r="K225" i="22"/>
  <c r="L225" i="22"/>
  <c r="M225" i="22"/>
  <c r="N225" i="22"/>
  <c r="P225" i="22"/>
  <c r="Q225" i="22"/>
  <c r="R225" i="22"/>
  <c r="S225" i="22"/>
  <c r="V225" i="22"/>
  <c r="AB225" i="22"/>
  <c r="AC225" i="22"/>
  <c r="AF225" i="22"/>
  <c r="AK225" i="22"/>
  <c r="AP225" i="22"/>
  <c r="AR225" i="22"/>
  <c r="AY225" i="22"/>
  <c r="AZ225" i="22"/>
  <c r="BA225" i="22"/>
  <c r="BD225" i="22"/>
  <c r="BH225" i="22"/>
  <c r="BI225" i="22"/>
  <c r="BJ225" i="22"/>
  <c r="BK225" i="22"/>
  <c r="BL225" i="22"/>
  <c r="BM225" i="22"/>
  <c r="BN225" i="22"/>
  <c r="BO225" i="22"/>
  <c r="BR225" i="22"/>
  <c r="BT225" i="22"/>
  <c r="BW225" i="22"/>
  <c r="G226" i="22"/>
  <c r="H226" i="22"/>
  <c r="K226" i="22"/>
  <c r="R226" i="22"/>
  <c r="U226" i="22"/>
  <c r="W226" i="22"/>
  <c r="X226" i="22"/>
  <c r="Z226" i="22"/>
  <c r="AA226" i="22"/>
  <c r="AD226" i="22"/>
  <c r="AK226" i="22"/>
  <c r="AV226" i="22"/>
  <c r="AX226" i="22"/>
  <c r="BA226" i="22"/>
  <c r="BB226" i="22"/>
  <c r="BG226" i="22"/>
  <c r="BJ226" i="22"/>
  <c r="BK226" i="22"/>
  <c r="BL226" i="22"/>
  <c r="BM226" i="22"/>
  <c r="BN226" i="22"/>
  <c r="BP226" i="22"/>
  <c r="BQ226" i="22"/>
  <c r="BV226" i="22"/>
  <c r="C227" i="22"/>
  <c r="D227" i="22"/>
  <c r="G227" i="22"/>
  <c r="H227" i="22"/>
  <c r="I227" i="22"/>
  <c r="J227" i="22"/>
  <c r="T227" i="22"/>
  <c r="AE227" i="22"/>
  <c r="AF227" i="22"/>
  <c r="AJ227" i="22"/>
  <c r="AK227" i="22"/>
  <c r="AQ227" i="22"/>
  <c r="AR227" i="22"/>
  <c r="AS227" i="22"/>
  <c r="AT227" i="22"/>
  <c r="AU227" i="22"/>
  <c r="AX227" i="22"/>
  <c r="AY227" i="22"/>
  <c r="AZ227" i="22"/>
  <c r="BK227" i="22"/>
  <c r="BL227" i="22"/>
  <c r="BM227" i="22"/>
  <c r="BN227" i="22"/>
  <c r="BT227" i="22"/>
  <c r="AW232" i="22"/>
  <c r="AZ232" i="22"/>
  <c r="BA232" i="22"/>
  <c r="BT232" i="22"/>
  <c r="BU232" i="22"/>
  <c r="BW232" i="22"/>
  <c r="BX232" i="22"/>
  <c r="G239" i="22"/>
  <c r="H239" i="22"/>
  <c r="J239" i="22"/>
  <c r="K239" i="22"/>
  <c r="O239" i="22"/>
  <c r="Q239" i="22"/>
  <c r="R239" i="22"/>
  <c r="S239" i="22"/>
  <c r="U239" i="22"/>
  <c r="V239" i="22"/>
  <c r="W239" i="22"/>
  <c r="X239" i="22"/>
  <c r="Y239" i="22"/>
  <c r="Z239" i="22"/>
  <c r="AA239" i="22"/>
  <c r="AB239" i="22"/>
  <c r="AC239" i="22"/>
  <c r="AD239" i="22"/>
  <c r="AE239" i="22"/>
  <c r="AF239" i="22"/>
  <c r="AG239" i="22"/>
  <c r="AH239" i="22"/>
  <c r="AI239" i="22"/>
  <c r="AJ239" i="22"/>
  <c r="AK239" i="22"/>
  <c r="AL239" i="22"/>
  <c r="AM239" i="22"/>
  <c r="AN239" i="22"/>
  <c r="AO239" i="22"/>
  <c r="AP239" i="22"/>
  <c r="AQ239" i="22"/>
  <c r="AR239" i="22"/>
  <c r="AS239" i="22"/>
  <c r="AT239" i="22"/>
  <c r="AU239" i="22"/>
  <c r="AV239" i="22"/>
  <c r="BI239" i="22"/>
  <c r="BL239" i="22"/>
  <c r="BN239" i="22"/>
  <c r="BO239" i="22"/>
  <c r="BP239" i="22"/>
  <c r="BQ239" i="22"/>
  <c r="BR239" i="22"/>
  <c r="BS239" i="22"/>
  <c r="BT239" i="22"/>
  <c r="BU239" i="22"/>
  <c r="BV239" i="22"/>
  <c r="BW239" i="22"/>
  <c r="CA239" i="22"/>
  <c r="CB239" i="22"/>
  <c r="A240" i="22"/>
  <c r="B240" i="22"/>
  <c r="C240" i="22"/>
  <c r="D240" i="22"/>
  <c r="E240" i="22"/>
  <c r="G240" i="22"/>
  <c r="H240" i="22"/>
  <c r="I240" i="22"/>
  <c r="K240" i="22"/>
  <c r="M240" i="22"/>
  <c r="N240" i="22"/>
  <c r="O240" i="22"/>
  <c r="P240" i="22"/>
  <c r="R240" i="22"/>
  <c r="S240" i="22"/>
  <c r="T240" i="22"/>
  <c r="V240" i="22"/>
  <c r="X240" i="22"/>
  <c r="Y240" i="22"/>
  <c r="AA240" i="22"/>
  <c r="AB240" i="22"/>
  <c r="AC240" i="22"/>
  <c r="AE240" i="22"/>
  <c r="AF240" i="22"/>
  <c r="AG240" i="22"/>
  <c r="AH240" i="22"/>
  <c r="AI240" i="22"/>
  <c r="AJ240" i="22"/>
  <c r="AM240" i="22"/>
  <c r="AO240" i="22"/>
  <c r="AP240" i="22"/>
  <c r="AT240" i="22"/>
  <c r="AV240" i="22"/>
  <c r="AX240" i="22"/>
  <c r="AY240" i="22"/>
  <c r="BA240" i="22"/>
  <c r="BE240" i="22"/>
  <c r="BF240" i="22"/>
  <c r="BG240" i="22"/>
  <c r="BI240" i="22"/>
  <c r="BK240" i="22"/>
  <c r="BL240" i="22"/>
  <c r="BM240" i="22"/>
  <c r="BN240" i="22"/>
  <c r="BO240" i="22"/>
  <c r="BP240" i="22"/>
  <c r="BQ240" i="22"/>
  <c r="BR240" i="22"/>
  <c r="BS240" i="22"/>
  <c r="BT240" i="22"/>
  <c r="BU240" i="22"/>
  <c r="BV240" i="22"/>
  <c r="BW240" i="22"/>
  <c r="BX240" i="22"/>
  <c r="BY240" i="22"/>
  <c r="A241" i="22"/>
  <c r="B241" i="22"/>
  <c r="D241" i="22"/>
  <c r="F241" i="22"/>
  <c r="I241" i="22"/>
  <c r="K241" i="22"/>
  <c r="M241" i="22"/>
  <c r="O241" i="22"/>
  <c r="Q241" i="22"/>
  <c r="T241" i="22"/>
  <c r="U241" i="22"/>
  <c r="W241" i="22"/>
  <c r="Y241" i="22"/>
  <c r="Z241" i="22"/>
  <c r="AB241" i="22"/>
  <c r="AC241" i="22"/>
  <c r="AD241" i="22"/>
  <c r="AF241" i="22"/>
  <c r="AG241" i="22"/>
  <c r="AK241" i="22"/>
  <c r="AM241" i="22"/>
  <c r="AN241" i="22"/>
  <c r="AP241" i="22"/>
  <c r="T212" i="22"/>
  <c r="V212" i="22"/>
  <c r="Z212" i="22"/>
  <c r="AC212" i="22"/>
  <c r="AH212" i="22"/>
  <c r="AM212" i="22"/>
  <c r="AU212" i="22"/>
  <c r="BN212" i="22"/>
  <c r="BY212" i="22"/>
  <c r="Z213" i="22"/>
  <c r="AF213" i="22"/>
  <c r="AI213" i="22"/>
  <c r="AM213" i="22"/>
  <c r="AN213" i="22"/>
  <c r="AR213" i="22"/>
  <c r="AU213" i="22"/>
  <c r="AZ213" i="22"/>
  <c r="BB213" i="22"/>
  <c r="BG213" i="22"/>
  <c r="BJ213" i="22"/>
  <c r="BR213" i="22"/>
  <c r="BT213" i="22"/>
  <c r="BV213" i="22"/>
  <c r="BX213" i="22"/>
  <c r="E214" i="22"/>
  <c r="N214" i="22"/>
  <c r="O214" i="22"/>
  <c r="Q214" i="22"/>
  <c r="R214" i="22"/>
  <c r="C178" i="22"/>
  <c r="AR214" i="22"/>
  <c r="L178" i="22"/>
  <c r="AV214" i="22"/>
  <c r="BA214" i="22"/>
  <c r="BH214" i="22"/>
  <c r="BJ214" i="22"/>
  <c r="BM214" i="22"/>
  <c r="BY214" i="22"/>
  <c r="CB214" i="22"/>
  <c r="I215" i="22"/>
  <c r="O215" i="22"/>
  <c r="U215" i="22"/>
  <c r="AH215" i="22"/>
  <c r="AJ215" i="22"/>
  <c r="AW215" i="22"/>
  <c r="BN215" i="22"/>
  <c r="BO215" i="22"/>
  <c r="BS215" i="22"/>
  <c r="BT215" i="22"/>
  <c r="BY215" i="22"/>
  <c r="B216" i="22"/>
  <c r="E216" i="22"/>
  <c r="Z216" i="22"/>
  <c r="AT216" i="22"/>
  <c r="AU216" i="22"/>
  <c r="BO216" i="22"/>
  <c r="BW216" i="22"/>
  <c r="BX216" i="22"/>
  <c r="BY216" i="22"/>
  <c r="B217" i="22"/>
  <c r="F217" i="22"/>
  <c r="J217" i="22"/>
  <c r="W217" i="22"/>
  <c r="Z217" i="22"/>
  <c r="AG217" i="22"/>
  <c r="AM217" i="22"/>
  <c r="AS217" i="22"/>
  <c r="BD217" i="22"/>
  <c r="CB217" i="22"/>
  <c r="D218" i="22"/>
  <c r="H218" i="22"/>
  <c r="I218" i="22"/>
  <c r="J218" i="22"/>
  <c r="K218" i="22"/>
  <c r="O218" i="22"/>
  <c r="P218" i="22"/>
  <c r="T218" i="22"/>
  <c r="U218" i="22"/>
  <c r="V218" i="22"/>
  <c r="W218" i="22"/>
  <c r="X218" i="22"/>
  <c r="Y218" i="22"/>
  <c r="Z218" i="22"/>
  <c r="AB218" i="22"/>
  <c r="AC218" i="22"/>
  <c r="AD218" i="22"/>
  <c r="AE218" i="22"/>
  <c r="AF218" i="22"/>
  <c r="AG218" i="22"/>
  <c r="AH218" i="22"/>
  <c r="AI218" i="22"/>
  <c r="AJ218" i="22"/>
  <c r="AK218" i="22"/>
  <c r="AL218" i="22"/>
  <c r="AN218" i="22"/>
  <c r="AO218" i="22"/>
  <c r="AQ218" i="22"/>
  <c r="AR218" i="22"/>
  <c r="AV218" i="22"/>
  <c r="AZ218" i="22"/>
  <c r="BB218" i="22"/>
  <c r="BC218" i="22"/>
  <c r="BD218" i="22"/>
  <c r="BF218" i="22"/>
  <c r="BH218" i="22"/>
  <c r="BJ218" i="22"/>
  <c r="BL218" i="22"/>
  <c r="BM218" i="22"/>
  <c r="BN218" i="22"/>
  <c r="BP218" i="22"/>
  <c r="BR218" i="22"/>
  <c r="BT218" i="22"/>
  <c r="BU218" i="22"/>
  <c r="BZ218" i="22"/>
  <c r="CB218" i="22"/>
  <c r="A219" i="22"/>
  <c r="C219" i="22"/>
  <c r="E219" i="22"/>
  <c r="H219" i="22"/>
  <c r="J219" i="22"/>
  <c r="K219" i="22"/>
  <c r="N219" i="22"/>
  <c r="P219" i="22"/>
  <c r="R219" i="22"/>
  <c r="U219" i="22"/>
  <c r="X219" i="22"/>
  <c r="Z219" i="22"/>
  <c r="AA219" i="22"/>
  <c r="AB219" i="22"/>
  <c r="AN219" i="22"/>
  <c r="AQ219" i="22"/>
  <c r="AS219" i="22"/>
  <c r="AT219" i="22"/>
  <c r="AW219" i="22"/>
  <c r="AY219" i="22"/>
  <c r="BD219" i="22"/>
  <c r="BE219" i="22"/>
  <c r="BF219" i="22"/>
  <c r="BG219" i="22"/>
  <c r="BH219" i="22"/>
  <c r="AM225" i="22"/>
  <c r="AO225" i="22"/>
  <c r="AS225" i="22"/>
  <c r="AT225" i="22"/>
  <c r="AV225" i="22"/>
  <c r="AW225" i="22"/>
  <c r="AX225" i="22"/>
  <c r="BV225" i="22"/>
  <c r="BY225" i="22"/>
  <c r="D226" i="22"/>
  <c r="F226" i="22"/>
  <c r="I226" i="22"/>
  <c r="L226" i="22"/>
  <c r="N226" i="22"/>
  <c r="P226" i="22"/>
  <c r="S226" i="22"/>
  <c r="V226" i="22"/>
  <c r="AC226" i="22"/>
  <c r="AG226" i="22"/>
  <c r="AO226" i="22"/>
  <c r="AP226" i="22"/>
  <c r="AS226" i="22"/>
  <c r="AU226" i="22"/>
  <c r="AZ226" i="22"/>
  <c r="BO226" i="22"/>
  <c r="R227" i="22"/>
  <c r="V227" i="22"/>
  <c r="X227" i="22"/>
  <c r="AA227" i="22"/>
  <c r="AD227" i="22"/>
  <c r="AI227" i="22"/>
  <c r="AL227" i="22"/>
  <c r="AM227" i="22"/>
  <c r="AP227" i="22"/>
  <c r="AV227" i="22"/>
  <c r="AW227" i="22"/>
  <c r="BB227" i="22"/>
  <c r="BC227" i="22"/>
  <c r="BD227" i="22"/>
  <c r="BF227" i="22"/>
  <c r="BH227" i="22"/>
  <c r="BI227" i="22"/>
  <c r="BJ227" i="22"/>
  <c r="BO227" i="22"/>
  <c r="BP227" i="22"/>
  <c r="BU227" i="22"/>
  <c r="BZ227" i="22"/>
  <c r="C228" i="22"/>
  <c r="N228" i="22"/>
  <c r="Q228" i="22"/>
  <c r="S228" i="22"/>
  <c r="X228" i="22"/>
  <c r="AD228" i="22"/>
  <c r="AF228" i="22"/>
  <c r="AJ228" i="22"/>
  <c r="AM228" i="22"/>
  <c r="AN228" i="22"/>
  <c r="AO228" i="22"/>
  <c r="AP228" i="22"/>
  <c r="AQ228" i="22"/>
  <c r="AV228" i="22"/>
  <c r="AX228" i="22"/>
  <c r="AZ228" i="22"/>
  <c r="BB228" i="22"/>
  <c r="BE228" i="22"/>
  <c r="BI228" i="22"/>
  <c r="BM228" i="22"/>
  <c r="BN228" i="22"/>
  <c r="BP228" i="22"/>
  <c r="BR228" i="22"/>
  <c r="BT228" i="22"/>
  <c r="BZ228" i="22"/>
  <c r="A229" i="22"/>
  <c r="B229" i="22"/>
  <c r="F229" i="22"/>
  <c r="H229" i="22"/>
  <c r="I229" i="22"/>
  <c r="J229" i="22"/>
  <c r="K229" i="22"/>
  <c r="L229" i="22"/>
  <c r="M229" i="22"/>
  <c r="N229" i="22"/>
  <c r="R229" i="22"/>
  <c r="U229" i="22"/>
  <c r="V229" i="22"/>
  <c r="W229" i="22"/>
  <c r="Y229" i="22"/>
  <c r="Z229" i="22"/>
  <c r="AB229" i="22"/>
  <c r="AF229" i="22"/>
  <c r="AG229" i="22"/>
  <c r="AN229" i="22"/>
  <c r="AO229" i="22"/>
  <c r="AP229" i="22"/>
  <c r="AQ229" i="22"/>
  <c r="AR229" i="22"/>
  <c r="AS229" i="22"/>
  <c r="AT229" i="22"/>
  <c r="AV229" i="22"/>
  <c r="AW229" i="22"/>
  <c r="AX229" i="22"/>
  <c r="AY229" i="22"/>
  <c r="AZ229" i="22"/>
  <c r="BE229" i="22"/>
  <c r="BF229" i="22"/>
  <c r="BG229" i="22"/>
  <c r="BH229" i="22"/>
  <c r="BI229" i="22"/>
  <c r="BJ229" i="22"/>
  <c r="BL229" i="22"/>
  <c r="BN229" i="22"/>
  <c r="BO229" i="22"/>
  <c r="BP229" i="22"/>
  <c r="BQ229" i="22"/>
  <c r="BU229" i="22"/>
  <c r="BV229" i="22"/>
  <c r="BX229" i="22"/>
  <c r="BY229" i="22"/>
  <c r="BZ229" i="22"/>
  <c r="CA229" i="22"/>
  <c r="CB229" i="22"/>
  <c r="A230" i="22"/>
  <c r="B230" i="22"/>
  <c r="C230" i="22"/>
  <c r="D230" i="22"/>
  <c r="E230" i="22"/>
  <c r="F230" i="22"/>
  <c r="I230" i="22"/>
  <c r="K230" i="22"/>
  <c r="O230" i="22"/>
  <c r="Q230" i="22"/>
  <c r="R230" i="22"/>
  <c r="S230" i="22"/>
  <c r="T230" i="22"/>
  <c r="V230" i="22"/>
  <c r="X230" i="22"/>
  <c r="Z230" i="22"/>
  <c r="AA230" i="22"/>
  <c r="AB230" i="22"/>
  <c r="AC230" i="22"/>
  <c r="AH230" i="22"/>
  <c r="AK230" i="22"/>
  <c r="AM230" i="22"/>
  <c r="AO230" i="22"/>
  <c r="AR230" i="22"/>
  <c r="AS230" i="22"/>
  <c r="AT230" i="22"/>
  <c r="AU230" i="22"/>
  <c r="AV230" i="22"/>
  <c r="AW230" i="22"/>
  <c r="AX230" i="22"/>
  <c r="BC230" i="22"/>
  <c r="BF230" i="22"/>
  <c r="BH230" i="22"/>
  <c r="BO230" i="22"/>
  <c r="AQ241" i="22"/>
  <c r="AT241" i="22"/>
  <c r="AV241" i="22"/>
  <c r="AW241" i="22"/>
  <c r="AY241" i="22"/>
  <c r="AZ241" i="22"/>
  <c r="BA241" i="22"/>
  <c r="BB241" i="22"/>
  <c r="BC241" i="22"/>
  <c r="BD241" i="22"/>
  <c r="BE241" i="22"/>
  <c r="BG241" i="22"/>
  <c r="BK241" i="22"/>
  <c r="BM241" i="22"/>
  <c r="BN241" i="22"/>
  <c r="BO241" i="22"/>
  <c r="BP241" i="22"/>
  <c r="BQ241" i="22"/>
  <c r="BR241" i="22"/>
  <c r="BS241" i="22"/>
  <c r="BT241" i="22"/>
  <c r="BU241" i="22"/>
  <c r="BV241" i="22"/>
  <c r="BW241" i="22"/>
  <c r="BX241" i="22"/>
  <c r="BY241" i="22"/>
  <c r="BZ241" i="22"/>
  <c r="CA241" i="22"/>
  <c r="CB241" i="22"/>
  <c r="A242" i="22"/>
  <c r="B242" i="22"/>
  <c r="C242" i="22"/>
  <c r="D242" i="22"/>
  <c r="E242" i="22"/>
  <c r="F242" i="22"/>
  <c r="G242" i="22"/>
  <c r="H242" i="22"/>
  <c r="I242" i="22"/>
  <c r="J242" i="22"/>
  <c r="K242" i="22"/>
  <c r="L242" i="22"/>
  <c r="BL242" i="22"/>
  <c r="BM242" i="22"/>
  <c r="BN242" i="22"/>
  <c r="BO242" i="22"/>
  <c r="BP242" i="22"/>
  <c r="BQ242" i="22"/>
  <c r="BR242" i="22"/>
  <c r="BS242" i="22"/>
  <c r="BT242" i="22"/>
  <c r="BU242" i="22"/>
  <c r="BV242" i="22"/>
  <c r="BW242" i="22"/>
  <c r="BX242" i="22"/>
  <c r="BY242" i="22"/>
  <c r="BZ242" i="22"/>
  <c r="CA242" i="22"/>
  <c r="CB242" i="22"/>
  <c r="A243" i="22"/>
  <c r="B243" i="22"/>
  <c r="C243" i="22"/>
  <c r="D243" i="22"/>
  <c r="E243" i="22"/>
  <c r="F243" i="22"/>
  <c r="G243" i="22"/>
  <c r="H243" i="22"/>
  <c r="I243" i="22"/>
  <c r="J243" i="22"/>
  <c r="K243" i="22"/>
  <c r="L243" i="22"/>
  <c r="M243" i="22"/>
  <c r="N243" i="22"/>
  <c r="O243" i="22"/>
  <c r="P243" i="22"/>
  <c r="Q243" i="22"/>
  <c r="R243" i="22"/>
  <c r="S243" i="22"/>
  <c r="T243" i="22"/>
  <c r="U243" i="22"/>
  <c r="V243" i="22"/>
  <c r="W243" i="22"/>
  <c r="X243" i="22"/>
  <c r="Y243" i="22"/>
  <c r="Z243" i="22"/>
  <c r="AA243" i="22"/>
  <c r="AB243" i="22"/>
  <c r="AC243" i="22"/>
  <c r="AD243" i="22"/>
  <c r="AE243" i="22"/>
  <c r="AF243" i="22"/>
  <c r="AG243" i="22"/>
  <c r="AH243" i="22"/>
  <c r="AI243" i="22"/>
  <c r="AJ243" i="22"/>
  <c r="AK243" i="22"/>
  <c r="AL243" i="22"/>
  <c r="AM243" i="22"/>
  <c r="AN243" i="22"/>
  <c r="AO243" i="22"/>
  <c r="AP243" i="22"/>
  <c r="AQ243" i="22"/>
  <c r="AR243" i="22"/>
  <c r="AS243" i="22"/>
  <c r="AT243" i="22"/>
  <c r="AU243" i="22"/>
  <c r="AV243" i="22"/>
  <c r="AW243" i="22"/>
  <c r="AX243" i="22"/>
  <c r="AY243" i="22"/>
  <c r="AZ243" i="22"/>
  <c r="BA243" i="22"/>
  <c r="BB243" i="22"/>
  <c r="BC243" i="22"/>
  <c r="BD243" i="22"/>
  <c r="BE243" i="22"/>
  <c r="BF243" i="22"/>
  <c r="BG243" i="22"/>
  <c r="BH243" i="22"/>
  <c r="BI243" i="22"/>
  <c r="BJ243" i="22"/>
  <c r="BK243" i="22"/>
  <c r="BL243" i="22"/>
  <c r="BM243" i="22"/>
  <c r="BN243" i="22"/>
  <c r="BO243" i="22"/>
  <c r="BP243" i="22"/>
  <c r="BQ243" i="22"/>
  <c r="BR243" i="22"/>
  <c r="BS243" i="22"/>
  <c r="BT243" i="22"/>
  <c r="BU243" i="22"/>
  <c r="BV243" i="22"/>
  <c r="BW243" i="22"/>
  <c r="BX243" i="22"/>
  <c r="BY243" i="22"/>
  <c r="BZ243" i="22"/>
  <c r="CA243" i="22"/>
  <c r="CB243" i="22"/>
  <c r="A244" i="22"/>
  <c r="B244" i="22"/>
  <c r="C244" i="22"/>
  <c r="D244" i="22"/>
  <c r="E244" i="22"/>
  <c r="F244" i="22"/>
  <c r="G244" i="22"/>
  <c r="H244" i="22"/>
  <c r="I244" i="22"/>
  <c r="J244" i="22"/>
  <c r="K244" i="22"/>
  <c r="L244" i="22"/>
  <c r="M244" i="22"/>
  <c r="N244" i="22"/>
  <c r="O244" i="22"/>
  <c r="P244" i="22"/>
  <c r="Q244" i="22"/>
  <c r="R244" i="22"/>
  <c r="S244" i="22"/>
  <c r="T244" i="22"/>
  <c r="U244" i="22"/>
  <c r="V244" i="22"/>
  <c r="W244" i="22"/>
  <c r="X244" i="22"/>
  <c r="Y244" i="22"/>
  <c r="Z244" i="22"/>
  <c r="AA244" i="22"/>
  <c r="AB244" i="22"/>
  <c r="AC244" i="22"/>
  <c r="AD244" i="22"/>
  <c r="AE244" i="22"/>
  <c r="AF244" i="22"/>
  <c r="AG244" i="22"/>
  <c r="AH244" i="22"/>
  <c r="AI244" i="22"/>
  <c r="AJ244" i="22"/>
  <c r="AK244" i="22"/>
  <c r="AL244" i="22"/>
  <c r="AM244" i="22"/>
  <c r="AN244" i="22"/>
  <c r="AO244" i="22"/>
  <c r="AP244" i="22"/>
  <c r="AQ244" i="22"/>
  <c r="AR244" i="22"/>
  <c r="AS244" i="22"/>
  <c r="AT244" i="22"/>
  <c r="AU244" i="22"/>
  <c r="AV244" i="22"/>
  <c r="AW244" i="22"/>
  <c r="AX244" i="22"/>
  <c r="AY244" i="22"/>
  <c r="AZ244" i="22"/>
  <c r="BA244" i="22"/>
  <c r="BB244" i="22"/>
  <c r="BC244" i="22"/>
  <c r="BD244" i="22"/>
  <c r="BE244" i="22"/>
  <c r="BF244" i="22"/>
  <c r="BG244" i="22"/>
  <c r="BH244" i="22"/>
  <c r="BI244" i="22"/>
  <c r="BJ244" i="22"/>
  <c r="BK244" i="22"/>
  <c r="BL244" i="22"/>
  <c r="BM244" i="22"/>
  <c r="BN244" i="22"/>
  <c r="BO244" i="22"/>
  <c r="BP244" i="22"/>
  <c r="BQ244" i="22"/>
  <c r="BR244" i="22"/>
  <c r="BS244" i="22"/>
  <c r="BT244" i="22"/>
  <c r="BU244" i="22"/>
  <c r="BV244" i="22"/>
  <c r="BW244" i="22"/>
  <c r="BX244" i="22"/>
  <c r="BY244" i="22"/>
  <c r="BZ244" i="22"/>
  <c r="CA244" i="22"/>
  <c r="CB244" i="22"/>
  <c r="A245" i="22"/>
  <c r="B245" i="22"/>
  <c r="C245" i="22"/>
  <c r="D245" i="22"/>
  <c r="E245" i="22"/>
  <c r="F245" i="22"/>
  <c r="G245" i="22"/>
  <c r="H245" i="22"/>
  <c r="I245" i="22"/>
  <c r="J245" i="22"/>
  <c r="K245" i="22"/>
  <c r="L245" i="22"/>
  <c r="M245" i="22"/>
  <c r="N245" i="22"/>
  <c r="O245" i="22"/>
  <c r="P245" i="22"/>
  <c r="Q245" i="22"/>
  <c r="R245" i="22"/>
  <c r="S245" i="22"/>
  <c r="T245" i="22"/>
  <c r="U245" i="22"/>
  <c r="V245" i="22"/>
  <c r="W245" i="22"/>
  <c r="X245" i="22"/>
  <c r="Y245" i="22"/>
  <c r="Z245" i="22"/>
  <c r="AA245" i="22"/>
  <c r="AB245" i="22"/>
  <c r="AC245" i="22"/>
  <c r="AD245" i="22"/>
  <c r="AE245" i="22"/>
  <c r="AF245" i="22"/>
  <c r="AG245" i="22"/>
  <c r="AH245" i="22"/>
  <c r="AI245" i="22"/>
  <c r="AJ245" i="22"/>
  <c r="AK245" i="22"/>
  <c r="AL245" i="22"/>
  <c r="AM245" i="22"/>
  <c r="AN245" i="22"/>
  <c r="AO245" i="22"/>
  <c r="AP245" i="22"/>
  <c r="AQ245" i="22"/>
  <c r="AR245" i="22"/>
  <c r="AS245" i="22"/>
  <c r="AT245" i="22"/>
  <c r="AU245" i="22"/>
  <c r="AV245" i="22"/>
  <c r="AW245" i="22"/>
  <c r="AX245" i="22"/>
  <c r="AY245" i="22"/>
  <c r="AZ245" i="22"/>
  <c r="BA245" i="22"/>
  <c r="BB245" i="22"/>
  <c r="BC245" i="22"/>
  <c r="BD245" i="22"/>
  <c r="BE245" i="22"/>
  <c r="BF245" i="22"/>
  <c r="BG245" i="22"/>
  <c r="BH245" i="22"/>
  <c r="BI245" i="22"/>
  <c r="BJ245" i="22"/>
  <c r="BK245" i="22"/>
  <c r="BL245" i="22"/>
  <c r="BM245" i="22"/>
  <c r="BN245" i="22"/>
  <c r="BO245" i="22"/>
  <c r="BP245" i="22"/>
  <c r="BQ245" i="22"/>
  <c r="BR245" i="22"/>
  <c r="BS245" i="22"/>
  <c r="BT245" i="22"/>
  <c r="BU245" i="22"/>
  <c r="BV245" i="22"/>
  <c r="BW245" i="22"/>
  <c r="BX245" i="22"/>
  <c r="BY245" i="22"/>
  <c r="BZ245" i="22"/>
  <c r="CA245" i="22"/>
  <c r="CB245" i="22"/>
  <c r="A246" i="22"/>
  <c r="B246" i="22"/>
  <c r="C246" i="22"/>
  <c r="D246" i="22"/>
  <c r="E246" i="22"/>
  <c r="F246" i="22"/>
  <c r="G246" i="22"/>
  <c r="H246" i="22"/>
  <c r="I246" i="22"/>
  <c r="J246" i="22"/>
  <c r="K246" i="22"/>
  <c r="L246" i="22"/>
  <c r="M246" i="22"/>
  <c r="N246" i="22"/>
  <c r="O246" i="22"/>
  <c r="P246" i="22"/>
  <c r="Q246" i="22"/>
  <c r="R246" i="22"/>
  <c r="S246" i="22"/>
  <c r="T246" i="22"/>
  <c r="U246" i="22"/>
  <c r="V246" i="22"/>
  <c r="W246" i="22"/>
  <c r="X246" i="22"/>
  <c r="Y246" i="22"/>
  <c r="Z246" i="22"/>
  <c r="AA246" i="22"/>
  <c r="AB246" i="22"/>
  <c r="AC246" i="22"/>
  <c r="AD246" i="22"/>
  <c r="AE246" i="22"/>
  <c r="AF246" i="22"/>
  <c r="AG246" i="22"/>
  <c r="AH246" i="22"/>
  <c r="AI246" i="22"/>
  <c r="AJ246" i="22"/>
  <c r="AK246" i="22"/>
  <c r="AL246" i="22"/>
  <c r="AM246" i="22"/>
  <c r="AN246" i="22"/>
  <c r="AO246" i="22"/>
  <c r="AP246" i="22"/>
  <c r="AQ246" i="22"/>
  <c r="AR246" i="22"/>
  <c r="AS246" i="22"/>
  <c r="AT246" i="22"/>
  <c r="AU246" i="22"/>
  <c r="AV246" i="22"/>
  <c r="AW246" i="22"/>
  <c r="AX246" i="22"/>
  <c r="AY246" i="22"/>
  <c r="AZ246" i="22"/>
  <c r="BA246" i="22"/>
  <c r="BB246" i="22"/>
  <c r="BC246" i="22"/>
  <c r="BD246" i="22"/>
  <c r="BE246" i="22"/>
  <c r="BF246" i="22"/>
  <c r="BG246" i="22"/>
  <c r="BH246" i="22"/>
  <c r="BI246" i="22"/>
  <c r="BJ246" i="22"/>
  <c r="BK246" i="22"/>
  <c r="BL246" i="22"/>
  <c r="BM246" i="22"/>
  <c r="BN246" i="22"/>
  <c r="BO246" i="22"/>
  <c r="BP246" i="22"/>
  <c r="BQ246" i="22"/>
  <c r="BR246" i="22"/>
  <c r="BS246" i="22"/>
  <c r="BT246" i="22"/>
  <c r="BU246" i="22"/>
  <c r="BV246" i="22"/>
  <c r="BW246" i="22"/>
  <c r="BX246" i="22"/>
  <c r="BY246" i="22"/>
  <c r="BZ246" i="22"/>
  <c r="CA246" i="22"/>
  <c r="CB246" i="22"/>
  <c r="A247" i="22"/>
  <c r="B247" i="22"/>
  <c r="C247" i="22"/>
  <c r="D247" i="22"/>
  <c r="E247" i="22"/>
  <c r="F247" i="22"/>
  <c r="G247" i="22"/>
  <c r="H247" i="22"/>
  <c r="I247" i="22"/>
  <c r="J247" i="22"/>
  <c r="K247" i="22"/>
  <c r="L247" i="22"/>
  <c r="M247" i="22"/>
  <c r="N247" i="22"/>
  <c r="O247" i="22"/>
  <c r="P247" i="22"/>
  <c r="Q247" i="22"/>
  <c r="R247" i="22"/>
  <c r="S247" i="22"/>
  <c r="T247" i="22"/>
  <c r="U247" i="22"/>
  <c r="V247" i="22"/>
  <c r="W247" i="22"/>
  <c r="X247" i="22"/>
  <c r="Y247" i="22"/>
  <c r="Z247" i="22"/>
  <c r="AA247" i="22"/>
  <c r="AB247" i="22"/>
  <c r="AC247" i="22"/>
  <c r="AD247" i="22"/>
  <c r="AE247" i="22"/>
  <c r="AF247" i="22"/>
  <c r="AG247" i="22"/>
  <c r="AH247" i="22"/>
  <c r="AI247" i="22"/>
  <c r="AJ247" i="22"/>
  <c r="AK247" i="22"/>
  <c r="AL247" i="22"/>
  <c r="AM247" i="22"/>
  <c r="AN247" i="22"/>
  <c r="AO247" i="22"/>
  <c r="AP247" i="22"/>
  <c r="AQ247" i="22"/>
  <c r="AR247" i="22"/>
  <c r="AS247" i="22"/>
  <c r="AT247" i="22"/>
  <c r="AU247" i="22"/>
  <c r="AV247" i="22"/>
  <c r="AW247" i="22"/>
  <c r="AX247" i="22"/>
  <c r="AY247" i="22"/>
  <c r="AZ247" i="22"/>
  <c r="BA247" i="22"/>
  <c r="BB247" i="22"/>
  <c r="BC247" i="22"/>
  <c r="BD247" i="22"/>
  <c r="BE247" i="22"/>
  <c r="BF247" i="22"/>
  <c r="BG247" i="22"/>
  <c r="BH247" i="22"/>
  <c r="BI247" i="22"/>
  <c r="BJ247" i="22"/>
  <c r="BK247" i="22"/>
  <c r="BL247" i="22"/>
  <c r="BM247" i="22"/>
  <c r="BN247" i="22"/>
  <c r="BO247" i="22"/>
  <c r="BP247" i="22"/>
  <c r="BQ247" i="22"/>
  <c r="BR247" i="22"/>
  <c r="BS247" i="22"/>
  <c r="BT247" i="22"/>
  <c r="BU247" i="22"/>
  <c r="BV247" i="22"/>
  <c r="BW247" i="22"/>
  <c r="BX247" i="22"/>
  <c r="BY247" i="22"/>
  <c r="BZ247" i="22"/>
  <c r="CA247" i="22"/>
  <c r="CB247" i="22"/>
  <c r="A248" i="22"/>
  <c r="B248" i="22"/>
  <c r="C248" i="22"/>
  <c r="D248" i="22"/>
  <c r="E248" i="22"/>
  <c r="F248" i="22"/>
  <c r="G248" i="22"/>
  <c r="H248" i="22"/>
  <c r="I248" i="22"/>
  <c r="J248" i="22"/>
  <c r="K248" i="22"/>
  <c r="L248" i="22"/>
  <c r="M248" i="22"/>
  <c r="N248" i="22"/>
  <c r="O248" i="22"/>
  <c r="P248" i="22"/>
  <c r="Q248" i="22"/>
  <c r="R248" i="22"/>
  <c r="S248" i="22"/>
  <c r="T248" i="22"/>
  <c r="U248" i="22"/>
  <c r="V248" i="22"/>
  <c r="W248" i="22"/>
  <c r="X248" i="22"/>
  <c r="Y248" i="22"/>
  <c r="Z248" i="22"/>
  <c r="AA248" i="22"/>
  <c r="AB248" i="22"/>
  <c r="AC248" i="22"/>
  <c r="AD248" i="22"/>
  <c r="AE248" i="22"/>
  <c r="AF248" i="22"/>
  <c r="AG248" i="22"/>
  <c r="AH248" i="22"/>
  <c r="AI248" i="22"/>
  <c r="AJ248" i="22"/>
  <c r="AK248" i="22"/>
  <c r="AL248" i="22"/>
  <c r="AM248" i="22"/>
  <c r="AN248" i="22"/>
  <c r="AO248" i="22"/>
  <c r="AP248" i="22"/>
  <c r="AQ248" i="22"/>
  <c r="AR248" i="22"/>
  <c r="AS248" i="22"/>
  <c r="AT248" i="22"/>
  <c r="AU248" i="22"/>
  <c r="AV248" i="22"/>
  <c r="AW248" i="22"/>
  <c r="AX248" i="22"/>
  <c r="AY248" i="22"/>
  <c r="AZ248" i="22"/>
  <c r="BA248" i="22"/>
  <c r="BB248" i="22"/>
  <c r="BC248" i="22"/>
  <c r="BD248" i="22"/>
  <c r="BE248" i="22"/>
  <c r="BF248" i="22"/>
  <c r="BG248" i="22"/>
  <c r="BH248" i="22"/>
  <c r="BI248" i="22"/>
  <c r="BJ248" i="22"/>
  <c r="BK248" i="22"/>
  <c r="BL248" i="22"/>
  <c r="BM248" i="22"/>
  <c r="BN248" i="22"/>
  <c r="BO248" i="22"/>
  <c r="BP248" i="22"/>
  <c r="BQ248" i="22"/>
  <c r="BR248" i="22"/>
  <c r="BS248" i="22"/>
  <c r="BT248" i="22"/>
  <c r="BU248" i="22"/>
  <c r="BV248" i="22"/>
  <c r="BW248" i="22"/>
  <c r="BX248" i="22"/>
  <c r="BY248" i="22"/>
  <c r="BZ248" i="22"/>
  <c r="CA248" i="22"/>
  <c r="CB248" i="22"/>
  <c r="A249" i="22"/>
  <c r="B249" i="22"/>
  <c r="C249" i="22"/>
  <c r="D249" i="22"/>
  <c r="E249" i="22"/>
  <c r="F249" i="22"/>
  <c r="G249" i="22"/>
  <c r="H249" i="22"/>
  <c r="I249" i="22"/>
  <c r="J249" i="22"/>
  <c r="K249" i="22"/>
  <c r="L249" i="22"/>
  <c r="M249" i="22"/>
  <c r="N249" i="22"/>
  <c r="O249" i="22"/>
  <c r="P249" i="22"/>
  <c r="Q249" i="22"/>
  <c r="R249" i="22"/>
  <c r="S249" i="22"/>
  <c r="T249" i="22"/>
  <c r="U249" i="22"/>
  <c r="V249" i="22"/>
  <c r="W249" i="22"/>
  <c r="X249" i="22"/>
  <c r="Y249" i="22"/>
  <c r="Z249" i="22"/>
  <c r="AA249" i="22"/>
  <c r="AB249" i="22"/>
  <c r="AC249" i="22"/>
  <c r="AD249" i="22"/>
  <c r="AE249" i="22"/>
  <c r="AF249" i="22"/>
  <c r="AG249" i="22"/>
  <c r="AH249" i="22"/>
  <c r="AI249" i="22"/>
  <c r="AJ249" i="22"/>
  <c r="AK249" i="22"/>
  <c r="AL249" i="22"/>
  <c r="AM249" i="22"/>
  <c r="AN249" i="22"/>
  <c r="AO249" i="22"/>
  <c r="AP249" i="22"/>
  <c r="AQ249" i="22"/>
  <c r="AR249" i="22"/>
  <c r="AS249" i="22"/>
  <c r="AT249" i="22"/>
  <c r="AU249" i="22"/>
  <c r="AV249" i="22"/>
  <c r="AW249" i="22"/>
  <c r="AX249" i="22"/>
  <c r="AY249" i="22"/>
  <c r="AZ249" i="22"/>
  <c r="BA249" i="22"/>
  <c r="BB249" i="22"/>
  <c r="BC249" i="22"/>
  <c r="BD249" i="22"/>
  <c r="BE249" i="22"/>
  <c r="BF249" i="22"/>
  <c r="BG249" i="22"/>
  <c r="BH249" i="22"/>
  <c r="BI249" i="22"/>
  <c r="BJ249" i="22"/>
  <c r="BK249" i="22"/>
  <c r="BL249" i="22"/>
  <c r="BM249" i="22"/>
  <c r="BN249" i="22"/>
  <c r="BO249" i="22"/>
  <c r="BP249" i="22"/>
  <c r="BQ249" i="22"/>
  <c r="BR249" i="22"/>
  <c r="BS249" i="22"/>
  <c r="BT249" i="22"/>
  <c r="BU249" i="22"/>
  <c r="BV249" i="22"/>
  <c r="BW249" i="22"/>
  <c r="BX249" i="22"/>
  <c r="BY249" i="22"/>
  <c r="BZ249" i="22"/>
  <c r="CA249" i="22"/>
  <c r="CB249" i="22"/>
  <c r="A250" i="22"/>
  <c r="B250" i="22"/>
  <c r="C250" i="22"/>
  <c r="D250" i="22"/>
  <c r="E250" i="22"/>
  <c r="F250" i="22"/>
  <c r="G250" i="22"/>
  <c r="H250" i="22"/>
  <c r="I250" i="22"/>
  <c r="J250" i="22"/>
  <c r="K250" i="22"/>
  <c r="L250" i="22"/>
  <c r="M250" i="22"/>
  <c r="N250" i="22"/>
  <c r="O250" i="22"/>
  <c r="P250" i="22"/>
  <c r="Q250" i="22"/>
  <c r="R250" i="22"/>
  <c r="S250" i="22"/>
  <c r="T250" i="22"/>
  <c r="U250" i="22"/>
  <c r="V250" i="22"/>
  <c r="W250" i="22"/>
  <c r="X250" i="22"/>
  <c r="Y250" i="22"/>
  <c r="Z250" i="22"/>
  <c r="AA250" i="22"/>
  <c r="AB250" i="22"/>
  <c r="AC250" i="22"/>
  <c r="AD250" i="22"/>
  <c r="AE250" i="22"/>
  <c r="AF250" i="22"/>
  <c r="AG250" i="22"/>
  <c r="AH250" i="22"/>
  <c r="AI250" i="22"/>
  <c r="AJ250" i="22"/>
  <c r="AK250" i="22"/>
  <c r="AL250" i="22"/>
  <c r="AM250" i="22"/>
  <c r="AN250" i="22"/>
  <c r="AO250" i="22"/>
  <c r="AP250" i="22"/>
  <c r="AQ250" i="22"/>
  <c r="AR250" i="22"/>
  <c r="AS250" i="22"/>
  <c r="AT250" i="22"/>
  <c r="AU250" i="22"/>
  <c r="AV250" i="22"/>
  <c r="AW250" i="22"/>
  <c r="AX250" i="22"/>
  <c r="AY250" i="22"/>
  <c r="AZ250" i="22"/>
  <c r="BA250" i="22"/>
  <c r="BB250" i="22"/>
  <c r="BC250" i="22"/>
  <c r="BD250" i="22"/>
  <c r="BE250" i="22"/>
  <c r="BF250" i="22"/>
  <c r="BG250" i="22"/>
  <c r="BH250" i="22"/>
  <c r="BI250" i="22"/>
  <c r="BJ250" i="22"/>
  <c r="BK250" i="22"/>
  <c r="BL250" i="22"/>
  <c r="BM250" i="22"/>
  <c r="BN250" i="22"/>
  <c r="BO250" i="22"/>
  <c r="BP250" i="22"/>
  <c r="BQ250" i="22"/>
  <c r="BR250" i="22"/>
  <c r="BS250" i="22"/>
  <c r="BT250" i="22"/>
  <c r="BU250" i="22"/>
  <c r="BV250" i="22"/>
  <c r="BW250" i="22"/>
  <c r="BX250" i="22"/>
  <c r="BY250" i="22"/>
  <c r="BZ250" i="22"/>
  <c r="CA250" i="22"/>
  <c r="CB250" i="22"/>
  <c r="A251" i="22"/>
  <c r="B251" i="22"/>
  <c r="C251" i="22"/>
  <c r="D251" i="22"/>
  <c r="E251" i="22"/>
  <c r="F251" i="22"/>
  <c r="G251" i="22"/>
  <c r="H251" i="22"/>
  <c r="I251" i="22"/>
  <c r="J251" i="22"/>
  <c r="K251" i="22"/>
  <c r="L251" i="22"/>
  <c r="M251" i="22"/>
  <c r="N251" i="22"/>
  <c r="O251" i="22"/>
  <c r="P251" i="22"/>
  <c r="Q251" i="22"/>
  <c r="R251" i="22"/>
  <c r="S251" i="22"/>
  <c r="T251" i="22"/>
  <c r="U251" i="22"/>
  <c r="V251" i="22"/>
  <c r="W251" i="22"/>
  <c r="X251" i="22"/>
  <c r="Y251" i="22"/>
  <c r="Z251" i="22"/>
  <c r="AA251" i="22"/>
  <c r="AB251" i="22"/>
  <c r="AC251" i="22"/>
  <c r="AD251" i="22"/>
  <c r="AE251" i="22"/>
  <c r="AF251" i="22"/>
  <c r="AG251" i="22"/>
  <c r="AH251" i="22"/>
  <c r="AI251" i="22"/>
  <c r="AJ251" i="22"/>
  <c r="AK251" i="22"/>
  <c r="AL251" i="22"/>
  <c r="AM251" i="22"/>
  <c r="AN251" i="22"/>
  <c r="AO251" i="22"/>
  <c r="AP251" i="22"/>
  <c r="AQ251" i="22"/>
  <c r="AR251" i="22"/>
  <c r="AS251" i="22"/>
  <c r="AT251" i="22"/>
  <c r="AU251" i="22"/>
  <c r="AV251" i="22"/>
  <c r="AW251" i="22"/>
  <c r="AX251" i="22"/>
  <c r="AY251" i="22"/>
  <c r="AZ251" i="22"/>
  <c r="BA251" i="22"/>
  <c r="BB251" i="22"/>
  <c r="BC251" i="22"/>
  <c r="BD251" i="22"/>
  <c r="BE251" i="22"/>
  <c r="BF251" i="22"/>
  <c r="BG251" i="22"/>
  <c r="BH251" i="22"/>
  <c r="BI251" i="22"/>
  <c r="BJ251" i="22"/>
  <c r="BK251" i="22"/>
  <c r="BL251" i="22"/>
  <c r="BM251" i="22"/>
  <c r="BN251" i="22"/>
  <c r="BO251" i="22"/>
  <c r="BP251" i="22"/>
  <c r="BQ251" i="22"/>
  <c r="BR251" i="22"/>
  <c r="BS251" i="22"/>
  <c r="BT251" i="22"/>
  <c r="BU251" i="22"/>
  <c r="BV251" i="22"/>
  <c r="BW251" i="22"/>
  <c r="BX251" i="22"/>
  <c r="BY251" i="22"/>
  <c r="BZ251" i="22"/>
  <c r="CA251" i="22"/>
  <c r="CB251" i="22"/>
  <c r="A252" i="22"/>
  <c r="B252" i="22"/>
  <c r="C252" i="22"/>
  <c r="D252" i="22"/>
  <c r="E252" i="22"/>
  <c r="F252" i="22"/>
  <c r="G252" i="22"/>
  <c r="H252" i="22"/>
  <c r="I252" i="22"/>
  <c r="J252" i="22"/>
  <c r="K252" i="22"/>
  <c r="L252" i="22"/>
  <c r="M252" i="22"/>
  <c r="N252" i="22"/>
  <c r="O252" i="22"/>
  <c r="P252" i="22"/>
  <c r="Q252" i="22"/>
  <c r="R252" i="22"/>
  <c r="S252" i="22"/>
  <c r="T252" i="22"/>
  <c r="U252" i="22"/>
  <c r="V252" i="22"/>
  <c r="W252" i="22"/>
  <c r="X252" i="22"/>
  <c r="Y252" i="22"/>
  <c r="Z252" i="22"/>
  <c r="AA252" i="22"/>
  <c r="AB252" i="22"/>
  <c r="AC252" i="22"/>
  <c r="AD252" i="22"/>
  <c r="AE252" i="22"/>
  <c r="AF252" i="22"/>
  <c r="AG252" i="22"/>
  <c r="AH252" i="22"/>
  <c r="AI252" i="22"/>
  <c r="AJ252" i="22"/>
  <c r="AK252" i="22"/>
  <c r="AL252" i="22"/>
  <c r="AM252" i="22"/>
  <c r="AN252" i="22"/>
  <c r="AO252" i="22"/>
  <c r="AP252" i="22"/>
  <c r="AQ252" i="22"/>
  <c r="AR252" i="22"/>
  <c r="AS252" i="22"/>
  <c r="AT252" i="22"/>
  <c r="AU252" i="22"/>
  <c r="AV252" i="22"/>
  <c r="AW252" i="22"/>
  <c r="AX252" i="22"/>
  <c r="AY252" i="22"/>
  <c r="AZ252" i="22"/>
  <c r="BA252" i="22"/>
  <c r="BB252" i="22"/>
  <c r="BC252" i="22"/>
  <c r="BD252" i="22"/>
  <c r="BE252" i="22"/>
  <c r="BF252" i="22"/>
  <c r="BG252" i="22"/>
  <c r="BH252" i="22"/>
  <c r="BI252" i="22"/>
  <c r="BJ252" i="22"/>
  <c r="BK252" i="22"/>
  <c r="BL252" i="22"/>
  <c r="BM252" i="22"/>
  <c r="BN252" i="22"/>
  <c r="BO252" i="22"/>
  <c r="BP252" i="22"/>
  <c r="BQ252" i="22"/>
  <c r="BR252" i="22"/>
  <c r="BS252" i="22"/>
  <c r="BT252" i="22"/>
  <c r="BU252" i="22"/>
  <c r="BV252" i="22"/>
  <c r="BW252" i="22"/>
  <c r="BX252" i="22"/>
  <c r="BY252" i="22"/>
  <c r="BZ252" i="22"/>
  <c r="CA252" i="22"/>
  <c r="CB252" i="22"/>
  <c r="A253" i="22"/>
  <c r="B253" i="22"/>
  <c r="C253" i="22"/>
  <c r="D253" i="22"/>
  <c r="E253" i="22"/>
  <c r="F253" i="22"/>
  <c r="G253" i="22"/>
  <c r="H253" i="22"/>
  <c r="I253" i="22"/>
  <c r="J253" i="22"/>
  <c r="K253" i="22"/>
  <c r="L253" i="22"/>
  <c r="M253" i="22"/>
  <c r="N253" i="22"/>
  <c r="O253" i="22"/>
  <c r="P253" i="22"/>
  <c r="Q253" i="22"/>
  <c r="R253" i="22"/>
  <c r="S253" i="22"/>
  <c r="T253" i="22"/>
  <c r="U253" i="22"/>
  <c r="V253" i="22"/>
  <c r="W253" i="22"/>
  <c r="X253" i="22"/>
  <c r="Y253" i="22"/>
  <c r="Z253" i="22"/>
  <c r="AA253" i="22"/>
  <c r="AB253" i="22"/>
  <c r="AC253" i="22"/>
  <c r="AD253" i="22"/>
  <c r="AE253" i="22"/>
  <c r="AF253" i="22"/>
  <c r="AG253" i="22"/>
  <c r="AH253" i="22"/>
  <c r="AI253" i="22"/>
  <c r="AJ253" i="22"/>
  <c r="AK253" i="22"/>
  <c r="AL253" i="22"/>
  <c r="AM253" i="22"/>
  <c r="AN253" i="22"/>
  <c r="AO253" i="22"/>
  <c r="AP253" i="22"/>
  <c r="AQ253" i="22"/>
  <c r="AR253" i="22"/>
  <c r="AS253" i="22"/>
  <c r="AT253" i="22"/>
  <c r="AU253" i="22"/>
  <c r="AV253" i="22"/>
  <c r="AW253" i="22"/>
  <c r="AX253" i="22"/>
  <c r="AY253" i="22"/>
  <c r="AZ253" i="22"/>
  <c r="BA253" i="22"/>
  <c r="BB253" i="22"/>
  <c r="BC253" i="22"/>
  <c r="BD253" i="22"/>
  <c r="BE253" i="22"/>
  <c r="BF253" i="22"/>
  <c r="BG253" i="22"/>
  <c r="BH253" i="22"/>
  <c r="BI253" i="22"/>
  <c r="BJ253" i="22"/>
  <c r="BK253" i="22"/>
  <c r="BL253" i="22"/>
  <c r="BM253" i="22"/>
  <c r="BN253" i="22"/>
  <c r="BO253" i="22"/>
  <c r="BP253" i="22"/>
  <c r="BQ253" i="22"/>
  <c r="BR253" i="22"/>
  <c r="BS253" i="22"/>
  <c r="BT253" i="22"/>
  <c r="BU253" i="22"/>
  <c r="BV253" i="22"/>
  <c r="BW253" i="22"/>
  <c r="BX253" i="22"/>
  <c r="BY253" i="22"/>
  <c r="BZ253" i="22"/>
  <c r="CA253" i="22"/>
  <c r="CB253" i="22"/>
  <c r="A254" i="22"/>
  <c r="B254" i="22"/>
  <c r="C254" i="22"/>
  <c r="D254" i="22"/>
  <c r="E254" i="22"/>
  <c r="F254" i="22"/>
  <c r="G254" i="22"/>
  <c r="H254" i="22"/>
  <c r="I254" i="22"/>
  <c r="J254" i="22"/>
  <c r="K254" i="22"/>
  <c r="L254" i="22"/>
  <c r="M254" i="22"/>
  <c r="N254" i="22"/>
  <c r="O254" i="22"/>
  <c r="P254" i="22"/>
  <c r="Q254" i="22"/>
  <c r="R254" i="22"/>
  <c r="S254" i="22"/>
  <c r="T254" i="22"/>
  <c r="U254" i="22"/>
  <c r="V254" i="22"/>
  <c r="W254" i="22"/>
  <c r="X254" i="22"/>
  <c r="Y254" i="22"/>
  <c r="Z254" i="22"/>
  <c r="AA254" i="22"/>
  <c r="AB254" i="22"/>
  <c r="AC254" i="22"/>
  <c r="AD254" i="22"/>
  <c r="AE254" i="22"/>
  <c r="AF254" i="22"/>
  <c r="AG254" i="22"/>
  <c r="AH254" i="22"/>
  <c r="AI254" i="22"/>
  <c r="AJ254" i="22"/>
  <c r="AK254" i="22"/>
  <c r="AL254" i="22"/>
  <c r="AM254" i="22"/>
  <c r="AN254" i="22"/>
  <c r="AO254" i="22"/>
  <c r="AP254" i="22"/>
  <c r="AQ254" i="22"/>
  <c r="AR254" i="22"/>
  <c r="AS254" i="22"/>
  <c r="AT254" i="22"/>
  <c r="AU254" i="22"/>
  <c r="AV254" i="22"/>
  <c r="AW254" i="22"/>
  <c r="AX254" i="22"/>
  <c r="AY254" i="22"/>
  <c r="AZ254" i="22"/>
  <c r="BA254" i="22"/>
  <c r="BB254" i="22"/>
  <c r="BC254" i="22"/>
  <c r="BD254" i="22"/>
  <c r="BE254" i="22"/>
  <c r="BF254" i="22"/>
  <c r="BG254" i="22"/>
  <c r="BH254" i="22"/>
  <c r="BI254" i="22"/>
  <c r="BJ254" i="22"/>
  <c r="BK254" i="22"/>
  <c r="BL254" i="22"/>
  <c r="BM254" i="22"/>
  <c r="BN254" i="22"/>
  <c r="BO254" i="22"/>
  <c r="BP254" i="22"/>
  <c r="BQ254" i="22"/>
  <c r="BR254" i="22"/>
  <c r="BS254" i="22"/>
  <c r="BT254" i="22"/>
  <c r="BU254" i="22"/>
  <c r="BV254" i="22"/>
  <c r="BW254" i="22"/>
  <c r="BX254" i="22"/>
  <c r="BY254" i="22"/>
  <c r="BZ254" i="22"/>
  <c r="CA254" i="22"/>
  <c r="CB254" i="22"/>
  <c r="P199" i="22"/>
  <c r="R199" i="22"/>
  <c r="U199" i="22"/>
  <c r="X199" i="22"/>
  <c r="Y199" i="22"/>
  <c r="Z199" i="22"/>
  <c r="AA199" i="22"/>
  <c r="AC199" i="22"/>
  <c r="AH199" i="22"/>
  <c r="AK199" i="22"/>
  <c r="AL199" i="22"/>
  <c r="AN199" i="22"/>
  <c r="AR199" i="22"/>
  <c r="AS199" i="22"/>
  <c r="AU199" i="22"/>
  <c r="BG199" i="22"/>
  <c r="BI199" i="22"/>
  <c r="BJ199" i="22"/>
  <c r="BO199" i="22"/>
  <c r="BS199" i="22"/>
  <c r="BT199" i="22"/>
  <c r="BU199" i="22"/>
  <c r="BW199" i="22"/>
  <c r="CA199" i="22"/>
  <c r="CB199" i="22"/>
  <c r="A200" i="22"/>
  <c r="B200" i="22"/>
  <c r="C200" i="22"/>
  <c r="F200" i="22"/>
  <c r="G200" i="22"/>
  <c r="L200" i="22"/>
  <c r="N200" i="22"/>
  <c r="R200" i="22"/>
  <c r="S200" i="22"/>
  <c r="T200" i="22"/>
  <c r="X200" i="22"/>
  <c r="Y200" i="22"/>
  <c r="AB200" i="22"/>
  <c r="AD200" i="22"/>
  <c r="AJ200" i="22"/>
  <c r="AK200" i="22"/>
  <c r="AM200" i="22"/>
  <c r="AN200" i="22"/>
  <c r="AP200" i="22"/>
  <c r="AR200" i="22"/>
  <c r="AS200" i="22"/>
  <c r="AV200" i="22"/>
  <c r="AW200" i="22"/>
  <c r="BB200" i="22"/>
  <c r="BC200" i="22"/>
  <c r="BD200" i="22"/>
  <c r="BE200" i="22"/>
  <c r="BF200" i="22"/>
  <c r="BG200" i="22"/>
  <c r="BH200" i="22"/>
  <c r="BI200" i="22"/>
  <c r="BJ200" i="22"/>
  <c r="BK200" i="22"/>
  <c r="BL200" i="22"/>
  <c r="BM200" i="22"/>
  <c r="BN200" i="22"/>
  <c r="BQ200" i="22"/>
  <c r="BR200" i="22"/>
  <c r="BS200" i="22"/>
  <c r="BT200" i="22"/>
  <c r="BU200" i="22"/>
  <c r="BV200" i="22"/>
  <c r="CA200" i="22"/>
  <c r="B201" i="22"/>
  <c r="C201" i="22"/>
  <c r="H201" i="22"/>
  <c r="I201" i="22"/>
  <c r="K201" i="22"/>
  <c r="M201" i="22"/>
  <c r="N201" i="22"/>
  <c r="AE201" i="22"/>
  <c r="AF201" i="22"/>
  <c r="AI201" i="22"/>
  <c r="AX201" i="22"/>
  <c r="AY201" i="22"/>
  <c r="BB201" i="22"/>
  <c r="BC201" i="22"/>
  <c r="BE201" i="22"/>
  <c r="BG201" i="22"/>
  <c r="BH201" i="22"/>
  <c r="BI201" i="22"/>
  <c r="BJ201" i="22"/>
  <c r="BL201" i="22"/>
  <c r="BV201" i="22"/>
  <c r="BX201" i="22"/>
  <c r="BZ201" i="22"/>
  <c r="K202" i="22"/>
  <c r="L202" i="22"/>
  <c r="Q202" i="22"/>
  <c r="AL202" i="22"/>
  <c r="AP202" i="22"/>
  <c r="AR202" i="22"/>
  <c r="AZ202" i="22"/>
  <c r="BH202" i="22"/>
  <c r="BI202" i="22"/>
  <c r="BL202" i="22"/>
  <c r="BN202" i="22"/>
  <c r="BV202" i="22"/>
  <c r="BY202" i="22"/>
  <c r="BZ202" i="22"/>
  <c r="B203" i="22"/>
  <c r="G203" i="22"/>
  <c r="H203" i="22"/>
  <c r="I203" i="22"/>
  <c r="J203" i="22"/>
  <c r="K203" i="22"/>
  <c r="L203" i="22"/>
  <c r="O203" i="22"/>
  <c r="P203" i="22"/>
  <c r="S203" i="22"/>
  <c r="W203" i="22"/>
  <c r="X203" i="22"/>
  <c r="AB203" i="22"/>
  <c r="AD203" i="22"/>
  <c r="AE203" i="22"/>
  <c r="AF203" i="22"/>
  <c r="AM203" i="22"/>
  <c r="AQ203" i="22"/>
  <c r="AT203" i="22"/>
  <c r="AU203" i="22"/>
  <c r="AZ203" i="22"/>
  <c r="K199" i="22"/>
  <c r="Q199" i="22"/>
  <c r="V199" i="22"/>
  <c r="AE199" i="22"/>
  <c r="AG199" i="22"/>
  <c r="AM199" i="22"/>
  <c r="AQ199" i="22"/>
  <c r="AW199" i="22"/>
  <c r="AY199" i="22"/>
  <c r="BC199" i="22"/>
  <c r="BE199" i="22"/>
  <c r="BL199" i="22"/>
  <c r="BM199" i="22"/>
  <c r="BR199" i="22"/>
  <c r="BY199" i="22"/>
  <c r="D200" i="22"/>
  <c r="H200" i="22"/>
  <c r="O200" i="22"/>
  <c r="P200" i="22"/>
  <c r="V200" i="22"/>
  <c r="Z200" i="22"/>
  <c r="AO200" i="22"/>
  <c r="AU200" i="22"/>
  <c r="AX200" i="22"/>
  <c r="BO200" i="22"/>
  <c r="BP200" i="22"/>
  <c r="BX200" i="22"/>
  <c r="BZ200" i="22"/>
  <c r="A201" i="22"/>
  <c r="E201" i="22"/>
  <c r="P201" i="22"/>
  <c r="Q201" i="22"/>
  <c r="R201" i="22"/>
  <c r="T201" i="22"/>
  <c r="U201" i="22"/>
  <c r="Y201" i="22"/>
  <c r="Z201" i="22"/>
  <c r="AB201" i="22"/>
  <c r="AD201" i="22"/>
  <c r="AK201" i="22"/>
  <c r="AQ201" i="22"/>
  <c r="AR201" i="22"/>
  <c r="BP201" i="22"/>
  <c r="BR201" i="22"/>
  <c r="B202" i="22"/>
  <c r="R202" i="22"/>
  <c r="V202" i="22"/>
  <c r="W202" i="22"/>
  <c r="Z202" i="22"/>
  <c r="AC202" i="22"/>
  <c r="AD202" i="22"/>
  <c r="AH202" i="22"/>
  <c r="AN202" i="22"/>
  <c r="AY202" i="22"/>
  <c r="BA202" i="22"/>
  <c r="BE202" i="22"/>
  <c r="BF202" i="22"/>
  <c r="BM202" i="22"/>
  <c r="BQ202" i="22"/>
  <c r="D203" i="22"/>
  <c r="R203" i="22"/>
  <c r="U203" i="22"/>
  <c r="AG203" i="22"/>
  <c r="AK203" i="22"/>
  <c r="AO203" i="22"/>
  <c r="AR203" i="22"/>
  <c r="BB203" i="22"/>
  <c r="BF203" i="22"/>
  <c r="BI203" i="22"/>
  <c r="BM203" i="22"/>
  <c r="BS203" i="22"/>
  <c r="BU203" i="22"/>
  <c r="BV203" i="22"/>
  <c r="BW203" i="22"/>
  <c r="BZ203" i="22"/>
  <c r="B204" i="22"/>
  <c r="C204" i="22"/>
  <c r="K204" i="22"/>
  <c r="Q204" i="22"/>
  <c r="V204" i="22"/>
  <c r="AA204" i="22"/>
  <c r="AB204" i="22"/>
  <c r="AE204" i="22"/>
  <c r="AP204" i="22"/>
  <c r="BA204" i="22"/>
  <c r="BO204" i="22"/>
  <c r="CB204" i="22"/>
  <c r="P205" i="22"/>
  <c r="V205" i="22"/>
  <c r="Y205" i="22"/>
  <c r="AI205" i="22"/>
  <c r="AP205" i="22"/>
  <c r="AS205" i="22"/>
  <c r="BG205" i="22"/>
  <c r="CA205" i="22"/>
  <c r="R206" i="22"/>
  <c r="T206" i="22"/>
  <c r="U206" i="22"/>
  <c r="BA206" i="22"/>
  <c r="BI206" i="22"/>
  <c r="CA206" i="22"/>
  <c r="CB206" i="22"/>
  <c r="A207" i="22"/>
  <c r="C207" i="22"/>
  <c r="D207" i="22"/>
  <c r="G207" i="22"/>
  <c r="K207" i="22"/>
  <c r="N207" i="22"/>
  <c r="X207" i="22"/>
  <c r="AA207" i="22"/>
  <c r="AI207" i="22"/>
  <c r="AK207" i="22"/>
  <c r="AM207" i="22"/>
  <c r="AY207" i="22"/>
  <c r="BA207" i="22"/>
  <c r="BG207" i="22"/>
  <c r="BK207" i="22"/>
  <c r="BL207" i="22"/>
  <c r="BP207" i="22"/>
  <c r="BU207" i="22"/>
  <c r="BV207" i="22"/>
  <c r="C208" i="22"/>
  <c r="E208" i="22"/>
  <c r="J208" i="22"/>
  <c r="S208" i="22"/>
  <c r="AC208" i="22"/>
  <c r="AE208" i="22"/>
  <c r="AK208" i="22"/>
  <c r="AQ208" i="22"/>
  <c r="AV208" i="22"/>
  <c r="AZ208" i="22"/>
  <c r="BA208" i="22"/>
  <c r="BD208" i="22"/>
  <c r="BF208" i="22"/>
  <c r="BH208" i="22"/>
  <c r="BI208" i="22"/>
  <c r="BN208" i="22"/>
  <c r="BS208" i="22"/>
  <c r="BX208" i="22"/>
  <c r="BZ208" i="22"/>
  <c r="H209" i="22"/>
  <c r="T209" i="22"/>
  <c r="W209" i="22"/>
  <c r="Z209" i="22"/>
  <c r="AB209" i="22"/>
  <c r="AE209" i="22"/>
  <c r="AI209" i="22"/>
  <c r="AJ209" i="22"/>
  <c r="AL209" i="22"/>
  <c r="AQ209" i="22"/>
  <c r="AR209" i="22"/>
  <c r="AT209" i="22"/>
  <c r="AY209" i="22"/>
  <c r="AZ209" i="22"/>
  <c r="BA209" i="22"/>
  <c r="BD209" i="22"/>
  <c r="BE209" i="22"/>
  <c r="BF209" i="22"/>
  <c r="BI209" i="22"/>
  <c r="BO209" i="22"/>
  <c r="BP209" i="22"/>
  <c r="BQ209" i="22"/>
  <c r="BR209" i="22"/>
  <c r="BS209" i="22"/>
  <c r="BT209" i="22"/>
  <c r="BU209" i="22"/>
  <c r="BV209" i="22"/>
  <c r="BW209" i="22"/>
  <c r="BX209" i="22"/>
  <c r="BY209" i="22"/>
  <c r="BZ209" i="22"/>
  <c r="CA209" i="22"/>
  <c r="CB209" i="22"/>
  <c r="A210" i="22"/>
  <c r="B210" i="22"/>
  <c r="C210" i="22"/>
  <c r="D210" i="22"/>
  <c r="E210" i="22"/>
  <c r="F210" i="22"/>
  <c r="G210" i="22"/>
  <c r="H210" i="22"/>
  <c r="I210" i="22"/>
  <c r="J210" i="22"/>
  <c r="K210" i="22"/>
  <c r="L210" i="22"/>
  <c r="M210" i="22"/>
  <c r="N210" i="22"/>
  <c r="O210" i="22"/>
  <c r="P210" i="22"/>
  <c r="Q210" i="22"/>
  <c r="R210" i="22"/>
  <c r="S210" i="22"/>
  <c r="T210" i="22"/>
  <c r="U210" i="22"/>
  <c r="V210" i="22"/>
  <c r="W210" i="22"/>
  <c r="X210" i="22"/>
  <c r="Y210" i="22"/>
  <c r="Z210" i="22"/>
  <c r="AA210" i="22"/>
  <c r="AB210" i="22"/>
  <c r="AC210" i="22"/>
  <c r="AD210" i="22"/>
  <c r="AE210" i="22"/>
  <c r="AF210" i="22"/>
  <c r="AG210" i="22"/>
  <c r="AH210" i="22"/>
  <c r="AJ210" i="22"/>
  <c r="AL210" i="22"/>
  <c r="AO210" i="22"/>
  <c r="AQ210" i="22"/>
  <c r="AS210" i="22"/>
  <c r="AT210" i="22"/>
  <c r="AV210" i="22"/>
  <c r="AW210" i="22"/>
  <c r="AY210" i="22"/>
  <c r="BA210" i="22"/>
  <c r="BC210" i="22"/>
  <c r="BF210" i="22"/>
  <c r="BH210" i="22"/>
  <c r="BJ210" i="22"/>
  <c r="BL210" i="22"/>
  <c r="BN210" i="22"/>
  <c r="BP210" i="22"/>
  <c r="BR210" i="22"/>
  <c r="BU210" i="22"/>
  <c r="BW210" i="22"/>
  <c r="BX210" i="22"/>
  <c r="BZ210" i="22"/>
  <c r="B211" i="22"/>
  <c r="G211" i="22"/>
  <c r="L211" i="22"/>
  <c r="P211" i="22"/>
  <c r="R211" i="22"/>
  <c r="T211" i="22"/>
  <c r="Y211" i="22"/>
  <c r="AF211" i="22"/>
  <c r="AH211" i="22"/>
  <c r="AI211" i="22"/>
  <c r="AJ211" i="22"/>
  <c r="AO211" i="22"/>
  <c r="AS211" i="22"/>
  <c r="AU211" i="22"/>
  <c r="AZ211" i="22"/>
  <c r="BA211" i="22"/>
  <c r="BG211" i="22"/>
  <c r="BK211" i="22"/>
  <c r="BL211" i="22"/>
  <c r="BZ211" i="22"/>
  <c r="I212" i="22"/>
  <c r="J212" i="22"/>
  <c r="K212" i="22"/>
  <c r="L212" i="22"/>
  <c r="M212" i="22"/>
  <c r="N212" i="22"/>
  <c r="P212" i="22"/>
  <c r="R212" i="22"/>
  <c r="X212" i="22"/>
  <c r="AA212" i="22"/>
  <c r="AF212" i="22"/>
  <c r="AS212" i="22"/>
  <c r="AX212" i="22"/>
  <c r="BK212" i="22"/>
  <c r="BS212" i="22"/>
  <c r="CA212" i="22"/>
  <c r="D213" i="22"/>
  <c r="K213" i="22"/>
  <c r="M213" i="22"/>
  <c r="AC213" i="22"/>
  <c r="AE213" i="22"/>
  <c r="AK213" i="22"/>
  <c r="AY213" i="22"/>
  <c r="BE213" i="22"/>
  <c r="BY213" i="22"/>
  <c r="CA213" i="22"/>
  <c r="B214" i="22"/>
  <c r="C214" i="22"/>
  <c r="G214" i="22"/>
  <c r="L214" i="22"/>
  <c r="T214" i="22"/>
  <c r="W214" i="22"/>
  <c r="AA214" i="22"/>
  <c r="AE214" i="22"/>
  <c r="AM214" i="22"/>
  <c r="AX214" i="22"/>
  <c r="BD214" i="22"/>
  <c r="BG214" i="22"/>
  <c r="BX214" i="22"/>
  <c r="B215" i="22"/>
  <c r="F215" i="22"/>
  <c r="Q215" i="22"/>
  <c r="V215" i="22"/>
  <c r="AN215" i="22"/>
  <c r="AZ215" i="22"/>
  <c r="BC215" i="22"/>
  <c r="BE215" i="22"/>
  <c r="BQ215" i="22"/>
  <c r="BZ215" i="22"/>
  <c r="CA215" i="22"/>
  <c r="I216" i="22"/>
  <c r="L216" i="22"/>
  <c r="O216" i="22"/>
  <c r="Q216" i="22"/>
  <c r="T216" i="22"/>
  <c r="AB216" i="22"/>
  <c r="AY216" i="22"/>
  <c r="BE216" i="22"/>
  <c r="BU216" i="22"/>
  <c r="D217" i="22"/>
  <c r="S217" i="22"/>
  <c r="AK217" i="22"/>
  <c r="AZ217" i="22"/>
  <c r="BG217" i="22"/>
  <c r="BJ217" i="22"/>
  <c r="BL217" i="22"/>
  <c r="BO217" i="22"/>
  <c r="BW217" i="22"/>
  <c r="BX217" i="22"/>
  <c r="CA217" i="22"/>
  <c r="B218" i="22"/>
  <c r="E218" i="22"/>
  <c r="G218" i="22"/>
  <c r="L218" i="22"/>
  <c r="M218" i="22"/>
  <c r="N218" i="22"/>
  <c r="Q218" i="22"/>
  <c r="R218" i="22"/>
  <c r="S218" i="22"/>
  <c r="AA218" i="22"/>
  <c r="AM218" i="22"/>
  <c r="AP218" i="22"/>
  <c r="AS218" i="22"/>
  <c r="AT218" i="22"/>
  <c r="AU218" i="22"/>
  <c r="AW218" i="22"/>
  <c r="AX218" i="22"/>
  <c r="AY218" i="22"/>
  <c r="BA218" i="22"/>
  <c r="BE218" i="22"/>
  <c r="BG218" i="22"/>
  <c r="BI218" i="22"/>
  <c r="BK218" i="22"/>
  <c r="BO218" i="22"/>
  <c r="BQ218" i="22"/>
  <c r="BS218" i="22"/>
  <c r="BV218" i="22"/>
  <c r="BW218" i="22"/>
  <c r="BX218" i="22"/>
  <c r="BY218" i="22"/>
  <c r="CA218" i="22"/>
  <c r="B219" i="22"/>
  <c r="D219" i="22"/>
  <c r="F219" i="22"/>
  <c r="G219" i="22"/>
  <c r="I219" i="22"/>
  <c r="L219" i="22"/>
  <c r="M219" i="22"/>
  <c r="O219" i="22"/>
  <c r="Q219" i="22"/>
  <c r="S219" i="22"/>
  <c r="T219" i="22"/>
  <c r="V219" i="22"/>
  <c r="W219" i="22"/>
  <c r="Y219" i="22"/>
  <c r="AC219" i="22"/>
  <c r="AD219" i="22"/>
  <c r="AE219" i="22"/>
  <c r="AF219" i="22"/>
  <c r="AG219" i="22"/>
  <c r="AH219" i="22"/>
  <c r="AI219" i="22"/>
  <c r="AJ219" i="22"/>
  <c r="AK219" i="22"/>
  <c r="AL219" i="22"/>
  <c r="AM219" i="22"/>
  <c r="AO219" i="22"/>
  <c r="AP219" i="22"/>
  <c r="AR219" i="22"/>
  <c r="AU219" i="22"/>
  <c r="AV219" i="22"/>
  <c r="AX219" i="22"/>
  <c r="AZ219" i="22"/>
  <c r="BA219" i="22"/>
  <c r="BB219" i="22"/>
  <c r="BC219" i="22"/>
  <c r="BI219" i="22"/>
  <c r="BJ219" i="22"/>
  <c r="AN225" i="22"/>
  <c r="AU225" i="22"/>
  <c r="BE225" i="22"/>
  <c r="BU225" i="22"/>
  <c r="BX225" i="22"/>
  <c r="BZ225" i="22"/>
  <c r="J226" i="22"/>
  <c r="M226" i="22"/>
  <c r="O226" i="22"/>
  <c r="Q226" i="22"/>
  <c r="T226" i="22"/>
  <c r="Y226" i="22"/>
  <c r="AB226" i="22"/>
  <c r="AE226" i="22"/>
  <c r="AF226" i="22"/>
  <c r="AH226" i="22"/>
  <c r="AI226" i="22"/>
  <c r="AR226" i="22"/>
  <c r="AT226" i="22"/>
  <c r="BF226" i="22"/>
  <c r="BH226" i="22"/>
  <c r="BT226" i="22"/>
  <c r="BU226" i="22"/>
  <c r="CB226" i="22"/>
  <c r="B227" i="22"/>
  <c r="K227" i="22"/>
  <c r="L227" i="22"/>
  <c r="U227" i="22"/>
  <c r="W227" i="22"/>
  <c r="Y227" i="22"/>
  <c r="AG227" i="22"/>
  <c r="BE227" i="22"/>
  <c r="BG227" i="22"/>
  <c r="BQ227" i="22"/>
  <c r="BS227" i="22"/>
  <c r="BV227" i="22"/>
  <c r="BX227" i="22"/>
  <c r="BY227" i="22"/>
  <c r="CB227" i="22"/>
  <c r="A228" i="22"/>
  <c r="G228" i="22"/>
  <c r="P228" i="22"/>
  <c r="U228" i="22"/>
  <c r="V228" i="22"/>
  <c r="W228" i="22"/>
  <c r="Y228" i="22"/>
  <c r="AC228" i="22"/>
  <c r="AE228" i="22"/>
  <c r="AI228" i="22"/>
  <c r="AR228" i="22"/>
  <c r="AT228" i="22"/>
  <c r="AW228" i="22"/>
  <c r="AY228" i="22"/>
  <c r="BA228" i="22"/>
  <c r="BC228" i="22"/>
  <c r="BF228" i="22"/>
  <c r="BO228" i="22"/>
  <c r="C229" i="22"/>
  <c r="D229" i="22"/>
  <c r="E229" i="22"/>
  <c r="G229" i="22"/>
  <c r="O229" i="22"/>
  <c r="P229" i="22"/>
  <c r="Q229" i="22"/>
  <c r="S229" i="22"/>
  <c r="T229" i="22"/>
  <c r="X229" i="22"/>
  <c r="AA229" i="22"/>
  <c r="AC229" i="22"/>
  <c r="AD229" i="22"/>
  <c r="AE229" i="22"/>
  <c r="AH229" i="22"/>
  <c r="AI229" i="22"/>
  <c r="AJ229" i="22"/>
  <c r="AK229" i="22"/>
  <c r="AL229" i="22"/>
  <c r="AM229" i="22"/>
  <c r="AU229" i="22"/>
  <c r="BA229" i="22"/>
  <c r="BB229" i="22"/>
  <c r="BC229" i="22"/>
  <c r="BD229" i="22"/>
  <c r="BK229" i="22"/>
  <c r="BM229" i="22"/>
  <c r="BR229" i="22"/>
  <c r="BS229" i="22"/>
  <c r="BT229" i="22"/>
  <c r="BW229" i="22"/>
  <c r="G230" i="22"/>
  <c r="H230" i="22"/>
  <c r="J230" i="22"/>
  <c r="L230" i="22"/>
  <c r="M230" i="22"/>
  <c r="N230" i="22"/>
  <c r="P230" i="22"/>
  <c r="U230" i="22"/>
  <c r="W230" i="22"/>
  <c r="Y230" i="22"/>
  <c r="AD230" i="22"/>
  <c r="AE230" i="22"/>
  <c r="AF230" i="22"/>
  <c r="AG230" i="22"/>
  <c r="AI230" i="22"/>
  <c r="AJ230" i="22"/>
  <c r="AL230" i="22"/>
  <c r="AN230" i="22"/>
  <c r="AP230" i="22"/>
  <c r="AQ230" i="22"/>
  <c r="AY230" i="22"/>
  <c r="AZ230" i="22"/>
  <c r="BA230" i="22"/>
  <c r="BB230" i="22"/>
  <c r="BD230" i="22"/>
  <c r="BE230" i="22"/>
  <c r="BG230" i="22"/>
  <c r="BI230" i="22"/>
  <c r="BJ230" i="22"/>
  <c r="BK230" i="22"/>
  <c r="BL230" i="22"/>
  <c r="BM230" i="22"/>
  <c r="BN230" i="22"/>
  <c r="BP230" i="22"/>
  <c r="BQ230" i="22"/>
  <c r="BR230" i="22"/>
  <c r="BS230" i="22"/>
  <c r="BT230" i="22"/>
  <c r="BU230" i="22"/>
  <c r="BV230" i="22"/>
  <c r="BW230" i="22"/>
  <c r="BX230" i="22"/>
  <c r="BY230" i="22"/>
  <c r="BZ230" i="22"/>
  <c r="CA230" i="22"/>
  <c r="CB230" i="22"/>
  <c r="A231" i="22"/>
  <c r="B231" i="22"/>
  <c r="C231" i="22"/>
  <c r="D231" i="22"/>
  <c r="E231" i="22"/>
  <c r="F231" i="22"/>
  <c r="G231" i="22"/>
  <c r="H231" i="22"/>
  <c r="I231" i="22"/>
  <c r="J231" i="22"/>
  <c r="K231" i="22"/>
  <c r="L231" i="22"/>
  <c r="M231" i="22"/>
  <c r="N231" i="22"/>
  <c r="O231" i="22"/>
  <c r="P231" i="22"/>
  <c r="Q231" i="22"/>
  <c r="R231" i="22"/>
  <c r="S231" i="22"/>
  <c r="T231" i="22"/>
  <c r="U231" i="22"/>
  <c r="V231" i="22"/>
  <c r="W231" i="22"/>
  <c r="X231" i="22"/>
  <c r="Y231" i="22"/>
  <c r="Z231" i="22"/>
  <c r="AA231" i="22"/>
  <c r="AB231" i="22"/>
  <c r="AC231" i="22"/>
  <c r="AD231" i="22"/>
  <c r="AE231" i="22"/>
  <c r="AF231" i="22"/>
  <c r="AH231" i="22"/>
  <c r="AI231" i="22"/>
  <c r="AK231" i="22"/>
  <c r="AM231" i="22"/>
  <c r="AO231" i="22"/>
  <c r="AR231" i="22"/>
  <c r="AS231" i="22"/>
  <c r="AX231" i="22"/>
  <c r="AY231" i="22"/>
  <c r="AZ231" i="22"/>
  <c r="BB231" i="22"/>
  <c r="BD231" i="22"/>
  <c r="BE231" i="22"/>
  <c r="BF231" i="22"/>
  <c r="BG231" i="22"/>
  <c r="BI231" i="22"/>
  <c r="BL231" i="22"/>
  <c r="BO231" i="22"/>
  <c r="BP231" i="22"/>
  <c r="BR231" i="22"/>
  <c r="BT231" i="22"/>
  <c r="BV231" i="22"/>
  <c r="BX231" i="22"/>
  <c r="BZ231" i="22"/>
  <c r="CA231" i="22"/>
  <c r="CB231" i="22"/>
  <c r="A232" i="22"/>
  <c r="C232" i="22"/>
  <c r="E232" i="22"/>
  <c r="F232" i="22"/>
  <c r="G232" i="22"/>
  <c r="H232" i="22"/>
  <c r="I232" i="22"/>
  <c r="L232" i="22"/>
  <c r="M232" i="22"/>
  <c r="N232" i="22"/>
  <c r="O232" i="22"/>
  <c r="P232" i="22"/>
  <c r="S232" i="22"/>
  <c r="U232" i="22"/>
  <c r="W232" i="22"/>
  <c r="Y232" i="22"/>
  <c r="AA232" i="22"/>
  <c r="AC232" i="22"/>
  <c r="AD232" i="22"/>
  <c r="AE232" i="22"/>
  <c r="AH232" i="22"/>
  <c r="AJ232" i="22"/>
  <c r="AK232" i="22"/>
  <c r="AO232" i="22"/>
  <c r="AQ232" i="22"/>
  <c r="AS232" i="22"/>
  <c r="AU232" i="22"/>
  <c r="AV232" i="22"/>
  <c r="AX232" i="22"/>
  <c r="AY232" i="22"/>
  <c r="BB232" i="22"/>
  <c r="BC232" i="22"/>
  <c r="BF232" i="22"/>
  <c r="BI232" i="22"/>
  <c r="BJ232" i="22"/>
  <c r="BN232" i="22"/>
  <c r="BO232" i="22"/>
  <c r="BQ232" i="22"/>
  <c r="BR232" i="22"/>
  <c r="BS232" i="22"/>
  <c r="BZ232" i="22"/>
  <c r="CA232" i="22"/>
  <c r="CB232" i="22"/>
  <c r="A233" i="22"/>
  <c r="B233" i="22"/>
  <c r="D233" i="22"/>
  <c r="F233" i="22"/>
  <c r="H233" i="22"/>
  <c r="J233" i="22"/>
  <c r="K233" i="22"/>
  <c r="M233" i="22"/>
  <c r="N233" i="22"/>
  <c r="O233" i="22"/>
  <c r="S233" i="22"/>
  <c r="T233" i="22"/>
  <c r="V233" i="22"/>
  <c r="Z233" i="22"/>
  <c r="AB233" i="22"/>
  <c r="AE233" i="22"/>
  <c r="AG233" i="22"/>
  <c r="AH233" i="22"/>
  <c r="AI233" i="22"/>
  <c r="AJ233" i="22"/>
  <c r="AK233" i="22"/>
  <c r="AL233" i="22"/>
  <c r="AN233" i="22"/>
  <c r="AO233" i="22"/>
  <c r="AR233" i="22"/>
  <c r="AT233" i="22"/>
  <c r="AU233" i="22"/>
  <c r="AX233" i="22"/>
  <c r="BA233" i="22"/>
  <c r="BC233" i="22"/>
  <c r="BF233" i="22"/>
  <c r="BG233" i="22"/>
  <c r="BI233" i="22"/>
  <c r="BK233" i="22"/>
  <c r="BM233" i="22"/>
  <c r="BO233" i="22"/>
  <c r="BQ233" i="22"/>
  <c r="BS233" i="22"/>
  <c r="BU233" i="22"/>
  <c r="BW233" i="22"/>
  <c r="BY233" i="22"/>
  <c r="BZ233" i="22"/>
  <c r="CA233" i="22"/>
  <c r="CB233" i="22"/>
  <c r="A234" i="22"/>
  <c r="B234" i="22"/>
  <c r="C234" i="22"/>
  <c r="D234" i="22"/>
  <c r="F234" i="22"/>
  <c r="H234" i="22"/>
  <c r="K234" i="22"/>
  <c r="L234" i="22"/>
  <c r="M234" i="22"/>
  <c r="O234" i="22"/>
  <c r="S234" i="22"/>
  <c r="T234" i="22"/>
  <c r="X234" i="22"/>
  <c r="Z234" i="22"/>
  <c r="AA234" i="22"/>
  <c r="AB234" i="22"/>
  <c r="AG234" i="22"/>
  <c r="AI234" i="22"/>
  <c r="AO234" i="22"/>
  <c r="AP234" i="22"/>
  <c r="AR234" i="22"/>
  <c r="AT234" i="22"/>
  <c r="AU234" i="22"/>
  <c r="AX234" i="22"/>
  <c r="AZ234" i="22"/>
  <c r="BA234" i="22"/>
  <c r="BB234" i="22"/>
  <c r="BD234" i="22"/>
  <c r="BH234" i="22"/>
  <c r="BJ234" i="22"/>
  <c r="BM234" i="22"/>
  <c r="BN234" i="22"/>
  <c r="BO234" i="22"/>
  <c r="BQ234" i="22"/>
  <c r="BR234" i="22"/>
  <c r="BS234" i="22"/>
  <c r="BT234" i="22"/>
  <c r="BU234" i="22"/>
  <c r="BV234" i="22"/>
  <c r="BW234" i="22"/>
  <c r="BX234" i="22"/>
  <c r="BY234" i="22"/>
  <c r="BZ234" i="22"/>
  <c r="CA234" i="22"/>
  <c r="CB234" i="22"/>
  <c r="A235" i="22"/>
  <c r="B235" i="22"/>
  <c r="C235" i="22"/>
  <c r="D235" i="22"/>
  <c r="E235" i="22"/>
  <c r="F235" i="22"/>
  <c r="G235" i="22"/>
  <c r="H235" i="22"/>
  <c r="I235" i="22"/>
  <c r="J235" i="22"/>
  <c r="K235" i="22"/>
  <c r="L235" i="22"/>
  <c r="M235" i="22"/>
  <c r="N235" i="22"/>
  <c r="O235" i="22"/>
  <c r="P235" i="22"/>
  <c r="Q235" i="22"/>
  <c r="R235" i="22"/>
  <c r="S235" i="22"/>
  <c r="T235" i="22"/>
  <c r="U235" i="22"/>
  <c r="V235" i="22"/>
  <c r="W235" i="22"/>
  <c r="X235" i="22"/>
  <c r="Y235" i="22"/>
  <c r="Z235" i="22"/>
  <c r="AA235" i="22"/>
  <c r="AB235" i="22"/>
  <c r="AC235" i="22"/>
  <c r="AD235" i="22"/>
  <c r="AE235" i="22"/>
  <c r="AF235" i="22"/>
  <c r="AG235" i="22"/>
  <c r="AH235" i="22"/>
  <c r="AI235" i="22"/>
  <c r="AJ235" i="22"/>
  <c r="AK235" i="22"/>
  <c r="AL235" i="22"/>
  <c r="AM235" i="22"/>
  <c r="AN235" i="22"/>
  <c r="AO235" i="22"/>
  <c r="AP235" i="22"/>
  <c r="AQ235" i="22"/>
  <c r="AR235" i="22"/>
  <c r="AS235" i="22"/>
  <c r="AT235" i="22"/>
  <c r="AU235" i="22"/>
  <c r="AV235" i="22"/>
  <c r="AW235" i="22"/>
  <c r="AX235" i="22"/>
  <c r="AY235" i="22"/>
  <c r="AZ235" i="22"/>
  <c r="BA235" i="22"/>
  <c r="BB235" i="22"/>
  <c r="BC235" i="22"/>
  <c r="BD235" i="22"/>
  <c r="BE235" i="22"/>
  <c r="BF235" i="22"/>
  <c r="BG235" i="22"/>
  <c r="BH235" i="22"/>
  <c r="BI235" i="22"/>
  <c r="BJ235" i="22"/>
  <c r="BK235" i="22"/>
  <c r="BL235" i="22"/>
  <c r="BM235" i="22"/>
  <c r="BN235" i="22"/>
  <c r="BO235" i="22"/>
  <c r="BP235" i="22"/>
  <c r="BQ235" i="22"/>
  <c r="BR235" i="22"/>
  <c r="BS235" i="22"/>
  <c r="BT235" i="22"/>
  <c r="BU235" i="22"/>
  <c r="BV235" i="22"/>
  <c r="BW235" i="22"/>
  <c r="BX235" i="22"/>
  <c r="BY235" i="22"/>
  <c r="BZ235" i="22"/>
  <c r="CA235" i="22"/>
  <c r="CB235" i="22"/>
  <c r="A236" i="22"/>
  <c r="B236" i="22"/>
  <c r="C236" i="22"/>
  <c r="D236" i="22"/>
  <c r="E236" i="22"/>
  <c r="F236" i="22"/>
  <c r="G236" i="22"/>
  <c r="H236" i="22"/>
  <c r="I236" i="22"/>
  <c r="J236" i="22"/>
  <c r="K236" i="22"/>
  <c r="L236" i="22"/>
  <c r="M236" i="22"/>
  <c r="N236" i="22"/>
  <c r="O236" i="22"/>
  <c r="P236" i="22"/>
  <c r="Q236" i="22"/>
  <c r="R236" i="22"/>
  <c r="S236" i="22"/>
  <c r="T236" i="22"/>
  <c r="U236" i="22"/>
  <c r="V236" i="22"/>
  <c r="W236" i="22"/>
  <c r="X236" i="22"/>
  <c r="Y236" i="22"/>
  <c r="Z236" i="22"/>
  <c r="AA236" i="22"/>
  <c r="AB236" i="22"/>
  <c r="AC236" i="22"/>
  <c r="AD236" i="22"/>
  <c r="AE236" i="22"/>
  <c r="AF236" i="22"/>
  <c r="AG236" i="22"/>
  <c r="AH236" i="22"/>
  <c r="AI236" i="22"/>
  <c r="AJ236" i="22"/>
  <c r="AK236" i="22"/>
  <c r="AL236" i="22"/>
  <c r="AM236" i="22"/>
  <c r="AN236" i="22"/>
  <c r="AO236" i="22"/>
  <c r="AP236" i="22"/>
  <c r="AQ236" i="22"/>
  <c r="AR236" i="22"/>
  <c r="AS236" i="22"/>
  <c r="AT236" i="22"/>
  <c r="AU236" i="22"/>
  <c r="AV236" i="22"/>
  <c r="AW236" i="22"/>
  <c r="AX236" i="22"/>
  <c r="AY236" i="22"/>
  <c r="AZ236" i="22"/>
  <c r="BA236" i="22"/>
  <c r="BB236" i="22"/>
  <c r="BC236" i="22"/>
  <c r="BD236" i="22"/>
  <c r="BE236" i="22"/>
  <c r="BF236" i="22"/>
  <c r="BG236" i="22"/>
  <c r="BH236" i="22"/>
  <c r="BI236" i="22"/>
  <c r="BJ236" i="22"/>
  <c r="BK236" i="22"/>
  <c r="BL236" i="22"/>
  <c r="BM236" i="22"/>
  <c r="BN236" i="22"/>
  <c r="BO236" i="22"/>
  <c r="BP236" i="22"/>
  <c r="BQ236" i="22"/>
  <c r="BR236" i="22"/>
  <c r="BS236" i="22"/>
  <c r="BT236" i="22"/>
  <c r="BU236" i="22"/>
  <c r="BV236" i="22"/>
  <c r="BW236" i="22"/>
  <c r="BX236" i="22"/>
  <c r="BY236" i="22"/>
  <c r="BZ236" i="22"/>
  <c r="CA236" i="22"/>
  <c r="CB236" i="22"/>
  <c r="A237" i="22"/>
  <c r="B237" i="22"/>
  <c r="C237" i="22"/>
  <c r="D237" i="22"/>
  <c r="E237" i="22"/>
  <c r="F237" i="22"/>
  <c r="G237" i="22"/>
  <c r="H237" i="22"/>
  <c r="I237" i="22"/>
  <c r="J237" i="22"/>
  <c r="K237" i="22"/>
  <c r="L237" i="22"/>
  <c r="M237" i="22"/>
  <c r="N237" i="22"/>
  <c r="O237" i="22"/>
  <c r="P237" i="22"/>
  <c r="Q237" i="22"/>
  <c r="R237" i="22"/>
  <c r="S237" i="22"/>
  <c r="T237" i="22"/>
  <c r="U237" i="22"/>
  <c r="V237" i="22"/>
  <c r="W237" i="22"/>
  <c r="X237" i="22"/>
  <c r="Y237" i="22"/>
  <c r="Z237" i="22"/>
  <c r="AA237" i="22"/>
  <c r="AB237" i="22"/>
  <c r="AC237" i="22"/>
  <c r="AD237" i="22"/>
  <c r="AE237" i="22"/>
  <c r="AF237" i="22"/>
  <c r="AG237" i="22"/>
  <c r="AH237" i="22"/>
  <c r="AI237" i="22"/>
  <c r="AJ237" i="22"/>
  <c r="AK237" i="22"/>
  <c r="AL237" i="22"/>
  <c r="AM237" i="22"/>
  <c r="AN237" i="22"/>
  <c r="AO237" i="22"/>
  <c r="AP237" i="22"/>
  <c r="AQ237" i="22"/>
  <c r="AR237" i="22"/>
  <c r="AS237" i="22"/>
  <c r="AT237" i="22"/>
  <c r="AU237" i="22"/>
  <c r="AV237" i="22"/>
  <c r="AW237" i="22"/>
  <c r="AX237" i="22"/>
  <c r="AY237" i="22"/>
  <c r="AZ237" i="22"/>
  <c r="BA237" i="22"/>
  <c r="BB237" i="22"/>
  <c r="BC237" i="22"/>
  <c r="BD237" i="22"/>
  <c r="BE237" i="22"/>
  <c r="BF237" i="22"/>
  <c r="BG237" i="22"/>
  <c r="BH237" i="22"/>
  <c r="BI237" i="22"/>
  <c r="BJ237" i="22"/>
  <c r="BK237" i="22"/>
  <c r="BL237" i="22"/>
  <c r="BM237" i="22"/>
  <c r="BN237" i="22"/>
  <c r="BO237" i="22"/>
  <c r="BP237" i="22"/>
  <c r="BQ237" i="22"/>
  <c r="BR237" i="22"/>
  <c r="BS237" i="22"/>
  <c r="BT237" i="22"/>
  <c r="BU237" i="22"/>
  <c r="BV237" i="22"/>
  <c r="BW237" i="22"/>
  <c r="BX237" i="22"/>
  <c r="BY237" i="22"/>
  <c r="BZ237" i="22"/>
  <c r="CA237" i="22"/>
  <c r="CB237" i="22"/>
  <c r="A238" i="22"/>
  <c r="B238" i="22"/>
  <c r="C238" i="22"/>
  <c r="D238" i="22"/>
  <c r="E238" i="22"/>
  <c r="F238" i="22"/>
  <c r="G238" i="22"/>
  <c r="H238" i="22"/>
  <c r="I238" i="22"/>
  <c r="J238" i="22"/>
  <c r="K238" i="22"/>
  <c r="L238" i="22"/>
  <c r="M238" i="22"/>
  <c r="N238" i="22"/>
  <c r="O238" i="22"/>
  <c r="P238" i="22"/>
  <c r="Q238" i="22"/>
  <c r="R238" i="22"/>
  <c r="S238" i="22"/>
  <c r="T238" i="22"/>
  <c r="U238" i="22"/>
  <c r="V238" i="22"/>
  <c r="W238" i="22"/>
  <c r="X238" i="22"/>
  <c r="Y238" i="22"/>
  <c r="Z238" i="22"/>
  <c r="AA238" i="22"/>
  <c r="AB238" i="22"/>
  <c r="AC238" i="22"/>
  <c r="AD238" i="22"/>
  <c r="AE238" i="22"/>
  <c r="AF238" i="22"/>
  <c r="AG238" i="22"/>
  <c r="AH238" i="22"/>
  <c r="AI238" i="22"/>
  <c r="AJ238" i="22"/>
  <c r="AK238" i="22"/>
  <c r="AL238" i="22"/>
  <c r="AM238" i="22"/>
  <c r="AN238" i="22"/>
  <c r="AO238" i="22"/>
  <c r="AP238" i="22"/>
  <c r="AQ238" i="22"/>
  <c r="AR238" i="22"/>
  <c r="AS238" i="22"/>
  <c r="AT238" i="22"/>
  <c r="AU238" i="22"/>
  <c r="AV238" i="22"/>
  <c r="AW238" i="22"/>
  <c r="AX238" i="22"/>
  <c r="AY238" i="22"/>
  <c r="AZ238" i="22"/>
  <c r="BA238" i="22"/>
  <c r="BB238" i="22"/>
  <c r="BC238" i="22"/>
  <c r="BD238" i="22"/>
  <c r="BE238" i="22"/>
  <c r="BF238" i="22"/>
  <c r="BG238" i="22"/>
  <c r="BH238" i="22"/>
  <c r="BI238" i="22"/>
  <c r="BJ238" i="22"/>
  <c r="BK238" i="22"/>
  <c r="BL238" i="22"/>
  <c r="BM238" i="22"/>
  <c r="BN238" i="22"/>
  <c r="BO238" i="22"/>
  <c r="BP238" i="22"/>
  <c r="BQ238" i="22"/>
  <c r="BR238" i="22"/>
  <c r="BS238" i="22"/>
  <c r="BT238" i="22"/>
  <c r="BU238" i="22"/>
  <c r="BV238" i="22"/>
  <c r="BW238" i="22"/>
  <c r="BX238" i="22"/>
  <c r="BY238" i="22"/>
  <c r="BZ238" i="22"/>
  <c r="CA238" i="22"/>
  <c r="CB238" i="22"/>
  <c r="A239" i="22"/>
  <c r="B239" i="22"/>
  <c r="C239" i="22"/>
  <c r="D239" i="22"/>
  <c r="E239" i="22"/>
  <c r="F239" i="22"/>
  <c r="I239" i="22"/>
  <c r="L239" i="22"/>
  <c r="M239" i="22"/>
  <c r="N239" i="22"/>
  <c r="P239" i="22"/>
  <c r="T239" i="22"/>
  <c r="AW239" i="22"/>
  <c r="AX239" i="22"/>
  <c r="AY239" i="22"/>
  <c r="AZ239" i="22"/>
  <c r="BA239" i="22"/>
  <c r="BB239" i="22"/>
  <c r="BC239" i="22"/>
  <c r="BD239" i="22"/>
  <c r="BE239" i="22"/>
  <c r="BF239" i="22"/>
  <c r="BG239" i="22"/>
  <c r="BH239" i="22"/>
  <c r="BJ239" i="22"/>
  <c r="BK239" i="22"/>
  <c r="BM239" i="22"/>
  <c r="BX239" i="22"/>
  <c r="BY239" i="22"/>
  <c r="BZ239" i="22"/>
  <c r="F240" i="22"/>
  <c r="J240" i="22"/>
  <c r="L240" i="22"/>
  <c r="Q240" i="22"/>
  <c r="U240" i="22"/>
  <c r="W240" i="22"/>
  <c r="Z240" i="22"/>
  <c r="AD240" i="22"/>
  <c r="AK240" i="22"/>
  <c r="AL240" i="22"/>
  <c r="AN240" i="22"/>
  <c r="AQ240" i="22"/>
  <c r="AR240" i="22"/>
  <c r="AS240" i="22"/>
  <c r="AU240" i="22"/>
  <c r="AW240" i="22"/>
  <c r="AZ240" i="22"/>
  <c r="BB240" i="22"/>
  <c r="BC240" i="22"/>
  <c r="BD240" i="22"/>
  <c r="BH240" i="22"/>
  <c r="BJ240" i="22"/>
  <c r="BZ240" i="22"/>
  <c r="CA240" i="22"/>
  <c r="CB240" i="22"/>
  <c r="C241" i="22"/>
  <c r="E241" i="22"/>
  <c r="G241" i="22"/>
  <c r="H241" i="22"/>
  <c r="J241" i="22"/>
  <c r="L241" i="22"/>
  <c r="N241" i="22"/>
  <c r="P241" i="22"/>
  <c r="R241" i="22"/>
  <c r="S241" i="22"/>
  <c r="V241" i="22"/>
  <c r="X241" i="22"/>
  <c r="AA241" i="22"/>
  <c r="AE241" i="22"/>
  <c r="AH241" i="22"/>
  <c r="AI241" i="22"/>
  <c r="AJ241" i="22"/>
  <c r="AL241" i="22"/>
  <c r="AO241" i="22"/>
  <c r="AR241" i="22"/>
  <c r="AS241" i="22"/>
  <c r="AU241" i="22"/>
  <c r="AX241" i="22"/>
  <c r="BF241" i="22"/>
  <c r="BH241" i="22"/>
  <c r="BI241" i="22"/>
  <c r="BJ241" i="22"/>
  <c r="BL241" i="22"/>
  <c r="M242" i="22"/>
  <c r="N242" i="22"/>
  <c r="O242" i="22"/>
  <c r="P242" i="22"/>
  <c r="Q242" i="22"/>
  <c r="R242" i="22"/>
  <c r="S242" i="22"/>
  <c r="T242" i="22"/>
  <c r="U242" i="22"/>
  <c r="V242" i="22"/>
  <c r="W242" i="22"/>
  <c r="X242" i="22"/>
  <c r="Y242" i="22"/>
  <c r="Z242" i="22"/>
  <c r="AA242" i="22"/>
  <c r="AB242" i="22"/>
  <c r="AC242" i="22"/>
  <c r="AD242" i="22"/>
  <c r="AE242" i="22"/>
  <c r="AF242" i="22"/>
  <c r="AG242" i="22"/>
  <c r="AH242" i="22"/>
  <c r="AI242" i="22"/>
  <c r="AJ242" i="22"/>
  <c r="AK242" i="22"/>
  <c r="AL242" i="22"/>
  <c r="AM242" i="22"/>
  <c r="AN242" i="22"/>
  <c r="AO242" i="22"/>
  <c r="AP242" i="22"/>
  <c r="AQ242" i="22"/>
  <c r="AR242" i="22"/>
  <c r="AS242" i="22"/>
  <c r="AT242" i="22"/>
  <c r="AU242" i="22"/>
  <c r="AV242" i="22"/>
  <c r="AW242" i="22"/>
  <c r="AX242" i="22"/>
  <c r="AY242" i="22"/>
  <c r="AZ242" i="22"/>
  <c r="BA242" i="22"/>
  <c r="BB242" i="22"/>
  <c r="BC242" i="22"/>
  <c r="BD242" i="22"/>
  <c r="BE242" i="22"/>
  <c r="BF242" i="22"/>
  <c r="BG242" i="22"/>
  <c r="BH242" i="22"/>
  <c r="BI242" i="22"/>
  <c r="BJ242" i="22"/>
  <c r="BK242" i="22"/>
  <c r="J199" i="22"/>
  <c r="L199" i="22"/>
  <c r="AD199" i="22"/>
  <c r="AJ199" i="22"/>
  <c r="AO199" i="22"/>
  <c r="AP199" i="22"/>
  <c r="AV199" i="22"/>
  <c r="AX199" i="22"/>
  <c r="AZ199" i="22"/>
  <c r="BA199" i="22"/>
  <c r="BB199" i="22"/>
  <c r="BF199" i="22"/>
  <c r="BK199" i="22"/>
  <c r="BN199" i="22"/>
  <c r="BQ199" i="22"/>
  <c r="BZ199" i="22"/>
  <c r="E200" i="22"/>
  <c r="Q200" i="22"/>
  <c r="U200" i="22"/>
  <c r="W200" i="22"/>
  <c r="AA200" i="22"/>
  <c r="AH200" i="22"/>
  <c r="AQ200" i="22"/>
  <c r="AT200" i="22"/>
  <c r="AY200" i="22"/>
  <c r="CB200" i="22"/>
  <c r="F201" i="22"/>
  <c r="L201" i="22"/>
  <c r="O201" i="22"/>
  <c r="S201" i="22"/>
  <c r="V201" i="22"/>
  <c r="W201" i="22"/>
  <c r="AA201" i="22"/>
  <c r="AH201" i="22"/>
  <c r="AM201" i="22"/>
  <c r="AP201" i="22"/>
  <c r="AW201" i="22"/>
  <c r="BD201" i="22"/>
  <c r="BS201" i="22"/>
  <c r="E202" i="22"/>
  <c r="J202" i="22"/>
  <c r="O202" i="22"/>
  <c r="P202" i="22"/>
  <c r="U202" i="22"/>
  <c r="X202" i="22"/>
  <c r="Y202" i="22"/>
  <c r="AE202" i="22"/>
  <c r="AI202" i="22"/>
  <c r="AK202" i="22"/>
  <c r="AO202" i="22"/>
  <c r="AU202" i="22"/>
  <c r="AW202" i="22"/>
  <c r="BB202" i="22"/>
  <c r="BG202" i="22"/>
  <c r="BJ202" i="22"/>
  <c r="BR202" i="22"/>
  <c r="BS202" i="22"/>
  <c r="BX202" i="22"/>
  <c r="CB202" i="22"/>
  <c r="C203" i="22"/>
  <c r="M203" i="22"/>
  <c r="V203" i="22"/>
  <c r="AL203" i="22"/>
  <c r="AS203" i="22"/>
  <c r="AW203" i="22"/>
  <c r="BA203" i="22"/>
  <c r="BD203" i="22"/>
  <c r="BE203" i="22"/>
  <c r="BJ203" i="22"/>
  <c r="BL203" i="22"/>
  <c r="BQ203" i="22"/>
  <c r="BT203" i="22"/>
  <c r="BX203" i="22"/>
  <c r="CB203" i="22"/>
  <c r="E204" i="22"/>
  <c r="F204" i="22"/>
  <c r="J204" i="22"/>
  <c r="M204" i="22"/>
  <c r="N204" i="22"/>
  <c r="P204" i="22"/>
  <c r="R204" i="22"/>
  <c r="W204" i="22"/>
  <c r="AM204" i="22"/>
  <c r="AO204" i="22"/>
  <c r="AU204" i="22"/>
  <c r="AZ204" i="22"/>
  <c r="BI204" i="22"/>
  <c r="BP204" i="22"/>
  <c r="BY204" i="22"/>
  <c r="H205" i="22"/>
  <c r="Q205" i="22"/>
  <c r="T205" i="22"/>
  <c r="X205" i="22"/>
  <c r="Z205" i="22"/>
  <c r="AD205" i="22"/>
  <c r="AH205" i="22"/>
  <c r="AJ205" i="22"/>
  <c r="AO205" i="22"/>
  <c r="AY205" i="22"/>
  <c r="BB205" i="22"/>
  <c r="BC205" i="22"/>
  <c r="BE205" i="22"/>
  <c r="BF205" i="22"/>
  <c r="BK205" i="22"/>
  <c r="BW205" i="22"/>
  <c r="CB205" i="22"/>
  <c r="J206" i="22"/>
  <c r="M206" i="22"/>
  <c r="V206" i="22"/>
  <c r="AA206" i="22"/>
  <c r="AP206" i="22"/>
  <c r="AW206" i="22"/>
  <c r="BH206" i="22"/>
  <c r="B207" i="22"/>
  <c r="E207" i="22"/>
  <c r="F207" i="22"/>
  <c r="M207" i="22"/>
  <c r="R207" i="22"/>
  <c r="V207" i="22"/>
  <c r="Y207" i="22"/>
  <c r="AC207" i="22"/>
  <c r="AH207" i="22"/>
  <c r="AL207" i="22"/>
  <c r="AN207" i="22"/>
  <c r="AO207" i="22"/>
  <c r="AW207" i="22"/>
  <c r="BF207" i="22"/>
  <c r="BM207" i="22"/>
  <c r="BN207" i="22"/>
  <c r="BO207" i="22"/>
  <c r="BT207" i="22"/>
  <c r="BW207" i="22"/>
  <c r="H208" i="22"/>
  <c r="P208" i="22"/>
  <c r="Q208" i="22"/>
  <c r="R208" i="22"/>
  <c r="U208" i="22"/>
  <c r="AB208" i="22"/>
  <c r="AJ208" i="22"/>
  <c r="AL208" i="22"/>
  <c r="AX208" i="22"/>
  <c r="BE208" i="22"/>
  <c r="BJ208" i="22"/>
  <c r="BM208" i="22"/>
  <c r="BO208" i="22"/>
  <c r="BP208" i="22"/>
  <c r="BR208" i="22"/>
  <c r="BU208" i="22"/>
  <c r="CA208" i="22"/>
  <c r="CB208" i="22"/>
  <c r="A209" i="22"/>
  <c r="C209" i="22"/>
  <c r="D209" i="22"/>
  <c r="E209" i="22"/>
  <c r="G209" i="22"/>
  <c r="L209" i="22"/>
  <c r="R209" i="22"/>
  <c r="V209" i="22"/>
  <c r="AA209" i="22"/>
  <c r="AI210" i="22"/>
  <c r="AK210" i="22"/>
  <c r="AM210" i="22"/>
  <c r="AN210" i="22"/>
  <c r="AP210" i="22"/>
  <c r="AR210" i="22"/>
  <c r="AU210" i="22"/>
  <c r="AX210" i="22"/>
  <c r="AZ210" i="22"/>
  <c r="BB210" i="22"/>
  <c r="BD210" i="22"/>
  <c r="BE210" i="22"/>
  <c r="BG210" i="22"/>
  <c r="BI210" i="22"/>
  <c r="BK210" i="22"/>
  <c r="BM210" i="22"/>
  <c r="BO210" i="22"/>
  <c r="BQ210" i="22"/>
  <c r="BS210" i="22"/>
  <c r="BT210" i="22"/>
  <c r="BV210" i="22"/>
  <c r="BY210" i="22"/>
  <c r="C211" i="22"/>
  <c r="H211" i="22"/>
  <c r="I211" i="22"/>
  <c r="M211" i="22"/>
  <c r="O211" i="22"/>
  <c r="V211" i="22"/>
  <c r="W211" i="22"/>
  <c r="AK211" i="22"/>
  <c r="AM211" i="22"/>
  <c r="AN211" i="22"/>
  <c r="AQ211" i="22"/>
  <c r="AT211" i="22"/>
  <c r="AV211" i="22"/>
  <c r="AY211" i="22"/>
  <c r="BC211" i="22"/>
  <c r="BE211" i="22"/>
  <c r="BH211" i="22"/>
  <c r="BJ211" i="22"/>
  <c r="CA211" i="22"/>
  <c r="CB211" i="22"/>
  <c r="O212" i="22"/>
  <c r="Q212" i="22"/>
  <c r="S212" i="22"/>
  <c r="U212" i="22"/>
  <c r="W212" i="22"/>
  <c r="Y212" i="22"/>
  <c r="AG212" i="22"/>
  <c r="AI212" i="22"/>
  <c r="AR212" i="22"/>
  <c r="AT212" i="22"/>
  <c r="AV212" i="22"/>
  <c r="AW212" i="22"/>
  <c r="BA212" i="22"/>
  <c r="BJ212" i="22"/>
  <c r="BL212" i="22"/>
  <c r="BP212" i="22"/>
  <c r="BQ212" i="22"/>
  <c r="BT212" i="22"/>
  <c r="BV212" i="22"/>
  <c r="BZ212" i="22"/>
  <c r="CB212" i="22"/>
  <c r="B213" i="22"/>
  <c r="F213" i="22"/>
  <c r="L213" i="22"/>
  <c r="Q213" i="22"/>
  <c r="T213" i="22"/>
  <c r="X213" i="22"/>
  <c r="AB213" i="22"/>
  <c r="AD213" i="22"/>
  <c r="AH213" i="22"/>
  <c r="AP213" i="22"/>
  <c r="AW213" i="22"/>
  <c r="BC213" i="22"/>
  <c r="BF213" i="22"/>
  <c r="BH213" i="22"/>
  <c r="BM213" i="22"/>
  <c r="BO213" i="22"/>
  <c r="BS213" i="22"/>
  <c r="BU213" i="22"/>
  <c r="BZ213" i="22"/>
  <c r="I214" i="22"/>
  <c r="K214" i="22"/>
  <c r="U214" i="22"/>
  <c r="Z214" i="22"/>
  <c r="AC214" i="22"/>
  <c r="AD214" i="22"/>
  <c r="AH214" i="22"/>
  <c r="AJ214" i="22"/>
  <c r="AL214" i="22"/>
  <c r="AN214" i="22"/>
  <c r="AP214" i="22"/>
  <c r="AT214" i="22"/>
  <c r="AY214" i="22"/>
  <c r="AZ214" i="22"/>
  <c r="BB214" i="22"/>
  <c r="BC214" i="22"/>
  <c r="BF214" i="22"/>
  <c r="BI214" i="22"/>
  <c r="BL214" i="22"/>
  <c r="BV214" i="22"/>
  <c r="BW214" i="22"/>
  <c r="K215" i="22"/>
  <c r="M215" i="22"/>
  <c r="N215" i="22"/>
  <c r="P215" i="22"/>
  <c r="R215" i="22"/>
  <c r="S215" i="22"/>
  <c r="W215" i="22"/>
  <c r="Y215" i="22"/>
  <c r="Z215" i="22"/>
  <c r="AA215" i="22"/>
  <c r="AB215" i="22"/>
  <c r="AC215" i="22"/>
  <c r="AE215" i="22"/>
  <c r="AK215" i="22"/>
  <c r="AM215" i="22"/>
  <c r="AX215" i="22"/>
  <c r="BB215" i="22"/>
  <c r="BD215" i="22"/>
  <c r="BF215" i="22"/>
  <c r="BJ215" i="22"/>
  <c r="BK215" i="22"/>
  <c r="BP215" i="22"/>
  <c r="BV215" i="22"/>
  <c r="CB215" i="22"/>
  <c r="C216" i="22"/>
  <c r="D216" i="22"/>
  <c r="F216" i="22"/>
  <c r="G216" i="22"/>
  <c r="H216" i="22"/>
  <c r="J216" i="22"/>
  <c r="K216" i="22"/>
  <c r="N216" i="22"/>
  <c r="P216" i="22"/>
  <c r="AA216" i="22"/>
  <c r="AD216" i="22"/>
  <c r="AN216" i="22"/>
  <c r="AV216" i="22"/>
  <c r="BZ216" i="22"/>
  <c r="CA216" i="22"/>
  <c r="C217" i="22"/>
  <c r="H217" i="22"/>
  <c r="K217" i="22"/>
  <c r="U217" i="22"/>
  <c r="X217" i="22"/>
  <c r="Y217" i="22"/>
  <c r="AA217" i="22"/>
  <c r="AB217" i="22"/>
  <c r="AD217" i="22"/>
  <c r="AH217" i="22"/>
  <c r="AO217" i="22"/>
  <c r="AP217" i="22"/>
  <c r="AR217" i="22"/>
  <c r="BB217" i="22"/>
  <c r="BF217" i="22"/>
  <c r="BI217" i="22"/>
  <c r="BK217" i="22"/>
  <c r="BM217" i="22"/>
  <c r="BN217" i="22"/>
  <c r="BQ217" i="22"/>
  <c r="BR217" i="22"/>
  <c r="BS217" i="22"/>
  <c r="BU217" i="22"/>
  <c r="BV217" i="22"/>
  <c r="BY217" i="22"/>
  <c r="BZ217" i="22"/>
  <c r="A218" i="22"/>
  <c r="C218" i="22"/>
  <c r="F218" i="22"/>
  <c r="BK219" i="22"/>
  <c r="BL219" i="22"/>
  <c r="BM219" i="22"/>
  <c r="BN219" i="22"/>
  <c r="BO219" i="22"/>
  <c r="BP219" i="22"/>
  <c r="BQ219" i="22"/>
  <c r="BR219" i="22"/>
  <c r="BS219" i="22"/>
  <c r="BT219" i="22"/>
  <c r="BU219" i="22"/>
  <c r="BV219" i="22"/>
  <c r="BW219" i="22"/>
  <c r="BX219" i="22"/>
  <c r="BY219" i="22"/>
  <c r="BZ219" i="22"/>
  <c r="CA219" i="22"/>
  <c r="CB219" i="22"/>
  <c r="A220" i="22"/>
  <c r="B220" i="22"/>
  <c r="C220" i="22"/>
  <c r="D220" i="22"/>
  <c r="E220" i="22"/>
  <c r="F220" i="22"/>
  <c r="G220" i="22"/>
  <c r="H220" i="22"/>
  <c r="I220" i="22"/>
  <c r="J220" i="22"/>
  <c r="K220" i="22"/>
  <c r="L220" i="22"/>
  <c r="M220" i="22"/>
  <c r="N220" i="22"/>
  <c r="O220" i="22"/>
  <c r="P220" i="22"/>
  <c r="Q220" i="22"/>
  <c r="R220" i="22"/>
  <c r="S220" i="22"/>
  <c r="T220" i="22"/>
  <c r="U220" i="22"/>
  <c r="V220" i="22"/>
  <c r="W220" i="22"/>
  <c r="X220" i="22"/>
  <c r="Y220" i="22"/>
  <c r="Z220" i="22"/>
  <c r="AA220" i="22"/>
  <c r="AB220" i="22"/>
  <c r="AC220" i="22"/>
  <c r="AD220" i="22"/>
  <c r="AE220" i="22"/>
  <c r="AF220" i="22"/>
  <c r="AG220" i="22"/>
  <c r="AH220" i="22"/>
  <c r="AI220" i="22"/>
  <c r="AJ220" i="22"/>
  <c r="AK220" i="22"/>
  <c r="AL220" i="22"/>
  <c r="AM220" i="22"/>
  <c r="AN220" i="22"/>
  <c r="AO220" i="22"/>
  <c r="AP220" i="22"/>
  <c r="AQ220" i="22"/>
  <c r="AR220" i="22"/>
  <c r="AS220" i="22"/>
  <c r="AT220" i="22"/>
  <c r="AU220" i="22"/>
  <c r="AV220" i="22"/>
  <c r="AW220" i="22"/>
  <c r="AX220" i="22"/>
  <c r="AY220" i="22"/>
  <c r="AZ220" i="22"/>
  <c r="BA220" i="22"/>
  <c r="BB220" i="22"/>
  <c r="BC220" i="22"/>
  <c r="BD220" i="22"/>
  <c r="BE220" i="22"/>
  <c r="BF220" i="22"/>
  <c r="BG220" i="22"/>
  <c r="BH220" i="22"/>
  <c r="BI220" i="22"/>
  <c r="BJ220" i="22"/>
  <c r="BK220" i="22"/>
  <c r="BL220" i="22"/>
  <c r="BM220" i="22"/>
  <c r="BN220" i="22"/>
  <c r="BO220" i="22"/>
  <c r="BP220" i="22"/>
  <c r="BQ220" i="22"/>
  <c r="BR220" i="22"/>
  <c r="BS220" i="22"/>
  <c r="BT220" i="22"/>
  <c r="BU220" i="22"/>
  <c r="BV220" i="22"/>
  <c r="BW220" i="22"/>
  <c r="BX220" i="22"/>
  <c r="BY220" i="22"/>
  <c r="BZ220" i="22"/>
  <c r="CA220" i="22"/>
  <c r="CB220" i="22"/>
  <c r="A221" i="22"/>
  <c r="B221" i="22"/>
  <c r="C221" i="22"/>
  <c r="D221" i="22"/>
  <c r="E221" i="22"/>
  <c r="F221" i="22"/>
  <c r="G221" i="22"/>
  <c r="H221" i="22"/>
  <c r="I221" i="22"/>
  <c r="J221" i="22"/>
  <c r="K221" i="22"/>
  <c r="L221" i="22"/>
  <c r="M221" i="22"/>
  <c r="N221" i="22"/>
  <c r="O221" i="22"/>
  <c r="P221" i="22"/>
  <c r="Q221" i="22"/>
  <c r="R221" i="22"/>
  <c r="S221" i="22"/>
  <c r="T221" i="22"/>
  <c r="U221" i="22"/>
  <c r="V221" i="22"/>
  <c r="W221" i="22"/>
  <c r="X221" i="22"/>
  <c r="Y221" i="22"/>
  <c r="Z221" i="22"/>
  <c r="AA221" i="22"/>
  <c r="AB221" i="22"/>
  <c r="AC221" i="22"/>
  <c r="AD221" i="22"/>
  <c r="AE221" i="22"/>
  <c r="AF221" i="22"/>
  <c r="AG221" i="22"/>
  <c r="AH221" i="22"/>
  <c r="AI221" i="22"/>
  <c r="AJ221" i="22"/>
  <c r="AK221" i="22"/>
  <c r="AL221" i="22"/>
  <c r="AM221" i="22"/>
  <c r="AN221" i="22"/>
  <c r="AO221" i="22"/>
  <c r="AP221" i="22"/>
  <c r="AQ221" i="22"/>
  <c r="AR221" i="22"/>
  <c r="AS221" i="22"/>
  <c r="AT221" i="22"/>
  <c r="AU221" i="22"/>
  <c r="AV221" i="22"/>
  <c r="AW221" i="22"/>
  <c r="AX221" i="22"/>
  <c r="AY221" i="22"/>
  <c r="AZ221" i="22"/>
  <c r="BA221" i="22"/>
  <c r="BB221" i="22"/>
  <c r="BC221" i="22"/>
  <c r="BD221" i="22"/>
  <c r="BE221" i="22"/>
  <c r="BF221" i="22"/>
  <c r="BG221" i="22"/>
  <c r="BH221" i="22"/>
  <c r="BI221" i="22"/>
  <c r="BJ221" i="22"/>
  <c r="BK221" i="22"/>
  <c r="BL221" i="22"/>
  <c r="BM221" i="22"/>
  <c r="BN221" i="22"/>
  <c r="BO221" i="22"/>
  <c r="BP221" i="22"/>
  <c r="BQ221" i="22"/>
  <c r="BR221" i="22"/>
  <c r="BS221" i="22"/>
  <c r="BT221" i="22"/>
  <c r="BU221" i="22"/>
  <c r="AG231" i="22"/>
  <c r="AJ231" i="22"/>
  <c r="AL231" i="22"/>
  <c r="AN231" i="22"/>
  <c r="AP231" i="22"/>
  <c r="AQ231" i="22"/>
  <c r="AT231" i="22"/>
  <c r="AU231" i="22"/>
  <c r="AV231" i="22"/>
  <c r="AW231" i="22"/>
  <c r="BA231" i="22"/>
  <c r="BC231" i="22"/>
  <c r="BH231" i="22"/>
  <c r="BJ231" i="22"/>
  <c r="BK231" i="22"/>
  <c r="BM231" i="22"/>
  <c r="BN231" i="22"/>
  <c r="BQ231" i="22"/>
  <c r="BS231" i="22"/>
  <c r="BU231" i="22"/>
  <c r="BW231" i="22"/>
  <c r="BY231" i="22"/>
  <c r="B232" i="22"/>
  <c r="D232" i="22"/>
  <c r="J232" i="22"/>
  <c r="K232" i="22"/>
  <c r="Q232" i="22"/>
  <c r="R232" i="22"/>
  <c r="T232" i="22"/>
  <c r="V232" i="22"/>
  <c r="X232" i="22"/>
  <c r="Z232" i="22"/>
  <c r="AB232" i="22"/>
  <c r="AF232" i="22"/>
  <c r="AG232" i="22"/>
  <c r="AI232" i="22"/>
  <c r="AL232" i="22"/>
  <c r="AM232" i="22"/>
  <c r="AN232" i="22"/>
  <c r="AP232" i="22"/>
  <c r="AR232" i="22"/>
  <c r="AT232" i="22"/>
  <c r="BD232" i="22"/>
  <c r="BE232" i="22"/>
  <c r="BG232" i="22"/>
  <c r="BH232" i="22"/>
  <c r="BK232" i="22"/>
  <c r="BL232" i="22"/>
  <c r="BM232" i="22"/>
  <c r="BP232" i="22"/>
  <c r="BV232" i="22"/>
  <c r="BY232" i="22"/>
  <c r="C233" i="22"/>
  <c r="E233" i="22"/>
  <c r="G233" i="22"/>
  <c r="I233" i="22"/>
  <c r="L233" i="22"/>
  <c r="P233" i="22"/>
  <c r="Q233" i="22"/>
  <c r="R233" i="22"/>
  <c r="U233" i="22"/>
  <c r="W233" i="22"/>
  <c r="X233" i="22"/>
  <c r="Y233" i="22"/>
  <c r="AA233" i="22"/>
  <c r="AC233" i="22"/>
  <c r="AD233" i="22"/>
  <c r="AF233" i="22"/>
  <c r="AM233" i="22"/>
  <c r="AP233" i="22"/>
  <c r="AQ233" i="22"/>
  <c r="AS233" i="22"/>
  <c r="AV233" i="22"/>
  <c r="AW233" i="22"/>
  <c r="AY233" i="22"/>
  <c r="AZ233" i="22"/>
  <c r="BB233" i="22"/>
  <c r="BD233" i="22"/>
  <c r="BE233" i="22"/>
  <c r="BH233" i="22"/>
  <c r="BJ233" i="22"/>
  <c r="BL233" i="22"/>
  <c r="BN233" i="22"/>
  <c r="BP233" i="22"/>
  <c r="BR233" i="22"/>
  <c r="BT233" i="22"/>
  <c r="BV233" i="22"/>
  <c r="BX233" i="22"/>
  <c r="E234" i="22"/>
  <c r="G234" i="22"/>
  <c r="I234" i="22"/>
  <c r="J234" i="22"/>
  <c r="N234" i="22"/>
  <c r="P234" i="22"/>
  <c r="Q234" i="22"/>
  <c r="R234" i="22"/>
  <c r="U234" i="22"/>
  <c r="V234" i="22"/>
  <c r="W234" i="22"/>
  <c r="Y234" i="22"/>
  <c r="AC234" i="22"/>
  <c r="AD234" i="22"/>
  <c r="AE234" i="22"/>
  <c r="AF234" i="22"/>
  <c r="AH234" i="22"/>
  <c r="AJ234" i="22"/>
  <c r="AK234" i="22"/>
  <c r="AL234" i="22"/>
  <c r="AM234" i="22"/>
  <c r="AN234" i="22"/>
  <c r="AQ234" i="22"/>
  <c r="AS234" i="22"/>
  <c r="AV234" i="22"/>
  <c r="AW234" i="22"/>
  <c r="AY234" i="22"/>
  <c r="BC234" i="22"/>
  <c r="BE234" i="22"/>
  <c r="BF234" i="22"/>
  <c r="BG234" i="22"/>
  <c r="BI234" i="22"/>
  <c r="BK234" i="22"/>
  <c r="BL234" i="22"/>
  <c r="BP234" i="22"/>
  <c r="AS214" i="22"/>
  <c r="B672" i="22"/>
  <c r="B688" i="22" a="1"/>
  <c r="B688" i="22" s="1"/>
  <c r="B689" i="22" a="1"/>
  <c r="B689" i="22" s="1"/>
  <c r="F85" i="10"/>
  <c r="E85" i="10"/>
  <c r="F84" i="10"/>
  <c r="E84" i="10"/>
  <c r="F83" i="10"/>
  <c r="E83" i="10"/>
  <c r="F82" i="10"/>
  <c r="E82" i="10"/>
  <c r="F81" i="10"/>
  <c r="E81" i="10"/>
  <c r="F80" i="10"/>
  <c r="E80" i="10"/>
  <c r="F79" i="10"/>
  <c r="E79" i="10"/>
  <c r="F78" i="10"/>
  <c r="E78" i="10"/>
  <c r="F77" i="10"/>
  <c r="E77" i="10"/>
  <c r="F76" i="10"/>
  <c r="E76" i="10"/>
  <c r="F75" i="10"/>
  <c r="E75" i="10"/>
  <c r="F74" i="10"/>
  <c r="E74" i="10"/>
  <c r="F73" i="10"/>
  <c r="E73" i="10"/>
  <c r="F72" i="10"/>
  <c r="E72" i="10"/>
  <c r="F71" i="10"/>
  <c r="E71" i="10"/>
  <c r="F70" i="10"/>
  <c r="E70" i="10"/>
  <c r="F69" i="10"/>
  <c r="E69" i="10"/>
  <c r="E7" i="10"/>
  <c r="F7" i="10"/>
  <c r="F8" i="10"/>
  <c r="E8" i="10"/>
  <c r="F9" i="10"/>
  <c r="E9" i="10"/>
  <c r="F10" i="10"/>
  <c r="E10" i="10"/>
  <c r="E11" i="10"/>
  <c r="F11" i="10"/>
  <c r="F12" i="10"/>
  <c r="E12" i="10"/>
  <c r="E13" i="10"/>
  <c r="F13" i="10"/>
  <c r="E14" i="10"/>
  <c r="F14" i="10"/>
  <c r="E15" i="10"/>
  <c r="F15" i="10"/>
  <c r="F16" i="10"/>
  <c r="E16" i="10"/>
  <c r="E17" i="10"/>
  <c r="F17" i="10"/>
  <c r="E18" i="10"/>
  <c r="F18" i="10"/>
  <c r="F19" i="10"/>
  <c r="E19" i="10"/>
  <c r="E20" i="10"/>
  <c r="F20" i="10"/>
  <c r="E21" i="10"/>
  <c r="F21" i="10"/>
  <c r="F6" i="10"/>
  <c r="F22" i="10"/>
  <c r="E23" i="10"/>
  <c r="E24" i="10"/>
  <c r="E25" i="10"/>
  <c r="E26" i="10"/>
  <c r="F26" i="10"/>
  <c r="E27" i="10"/>
  <c r="F27" i="10"/>
  <c r="E28" i="10"/>
  <c r="F28" i="10"/>
  <c r="F29" i="10"/>
  <c r="E29" i="10"/>
  <c r="E30" i="10"/>
  <c r="F30" i="10"/>
  <c r="E31" i="10"/>
  <c r="F31" i="10"/>
  <c r="E32" i="10"/>
  <c r="F32" i="10"/>
  <c r="F33" i="10"/>
  <c r="E33" i="10"/>
  <c r="F34" i="10"/>
  <c r="E34" i="10"/>
  <c r="E35" i="10"/>
  <c r="F35" i="10"/>
  <c r="F36" i="10"/>
  <c r="E36" i="10"/>
  <c r="F37" i="10"/>
  <c r="E37" i="10"/>
  <c r="F38" i="10"/>
  <c r="E38" i="10"/>
  <c r="E39" i="10"/>
  <c r="F39" i="10"/>
  <c r="E40" i="10"/>
  <c r="F40" i="10"/>
  <c r="E41" i="10"/>
  <c r="F41" i="10"/>
  <c r="F42" i="10"/>
  <c r="E42" i="10"/>
  <c r="E43" i="10"/>
  <c r="F43" i="10"/>
  <c r="E44" i="10"/>
  <c r="F44" i="10"/>
  <c r="F45" i="10"/>
  <c r="E45" i="10"/>
  <c r="E46" i="10"/>
  <c r="F46" i="10"/>
  <c r="F47" i="10"/>
  <c r="E47" i="10"/>
  <c r="E48" i="10"/>
  <c r="F48" i="10"/>
  <c r="E49" i="10"/>
  <c r="F49" i="10"/>
  <c r="E50" i="10"/>
  <c r="F50" i="10"/>
  <c r="E51" i="10"/>
  <c r="F51" i="10"/>
  <c r="E22" i="10"/>
  <c r="F23" i="10"/>
  <c r="F24" i="10"/>
  <c r="F25" i="10"/>
  <c r="F52" i="10"/>
  <c r="E52" i="10"/>
  <c r="F53" i="10"/>
  <c r="E53" i="10"/>
  <c r="E54" i="10"/>
  <c r="F54" i="10"/>
  <c r="E55" i="10"/>
  <c r="F55" i="10"/>
  <c r="F56" i="10"/>
  <c r="E56" i="10"/>
  <c r="F57" i="10"/>
  <c r="E57" i="10"/>
  <c r="F58" i="10"/>
  <c r="E58" i="10"/>
  <c r="E59" i="10"/>
  <c r="F59" i="10"/>
  <c r="F60" i="10"/>
  <c r="E60" i="10"/>
  <c r="E61" i="10"/>
  <c r="F61" i="10"/>
  <c r="E62" i="10"/>
  <c r="F62" i="10"/>
  <c r="E63" i="10"/>
  <c r="F63" i="10"/>
  <c r="F64" i="10"/>
  <c r="E64" i="10"/>
  <c r="E65" i="10"/>
  <c r="F65" i="10"/>
  <c r="E66" i="10"/>
  <c r="F66" i="10"/>
  <c r="E67" i="10"/>
  <c r="F67" i="10"/>
  <c r="E68" i="10"/>
  <c r="F68" i="10"/>
  <c r="E6" i="10"/>
  <c r="A503" i="22" a="1"/>
  <c r="K587" i="22"/>
  <c r="K588" i="22"/>
  <c r="K601" i="22"/>
  <c r="K602" i="22"/>
  <c r="K619" i="22"/>
  <c r="K626" i="22"/>
  <c r="K633" i="22"/>
  <c r="K635" i="22"/>
  <c r="K654" i="22"/>
  <c r="K655" i="22"/>
  <c r="K656" i="22"/>
  <c r="K657" i="22"/>
  <c r="K658" i="22"/>
  <c r="K659" i="22"/>
  <c r="K660" i="22"/>
  <c r="K661" i="22"/>
  <c r="K662" i="22"/>
  <c r="K663" i="22"/>
  <c r="K664" i="22"/>
  <c r="K665" i="22"/>
  <c r="K618" i="22"/>
  <c r="K621" i="22"/>
  <c r="K630" i="22"/>
  <c r="K639" i="22"/>
  <c r="K640" i="22"/>
  <c r="K641" i="22"/>
  <c r="K642" i="22"/>
  <c r="K643" i="22"/>
  <c r="K644" i="22"/>
  <c r="K645" i="22"/>
  <c r="K646" i="22"/>
  <c r="K647" i="22"/>
  <c r="K648" i="22"/>
  <c r="K649" i="22"/>
  <c r="K650" i="22"/>
  <c r="K620" i="22"/>
  <c r="K629" i="22"/>
  <c r="K631" i="22"/>
  <c r="K632" i="22"/>
  <c r="B676" i="22"/>
  <c r="C88" i="10" s="1"/>
  <c r="K596" i="22"/>
  <c r="K597" i="22"/>
  <c r="K599" i="22"/>
  <c r="K605" i="22"/>
  <c r="K606" i="22"/>
  <c r="K608" i="22"/>
  <c r="K614" i="22"/>
  <c r="K617" i="22"/>
  <c r="K623" i="22"/>
  <c r="K625" i="22"/>
  <c r="K628" i="22"/>
  <c r="K637" i="22"/>
  <c r="K638" i="22"/>
  <c r="K634" i="22"/>
  <c r="K651" i="22"/>
  <c r="K653" i="22"/>
  <c r="K610" i="22" l="1"/>
  <c r="K613" i="22"/>
  <c r="K598" i="22"/>
  <c r="K600" i="22"/>
  <c r="K622" i="22"/>
  <c r="K624" i="22"/>
  <c r="K616" i="22"/>
  <c r="K627" i="22"/>
  <c r="K636" i="22"/>
  <c r="K652" i="22"/>
  <c r="E56" i="12"/>
  <c r="F57" i="12"/>
  <c r="E62" i="12"/>
  <c r="F58" i="12"/>
  <c r="E6" i="12"/>
  <c r="F59" i="12"/>
  <c r="F7" i="12"/>
  <c r="E60" i="12"/>
  <c r="E8" i="12"/>
  <c r="F61" i="12"/>
  <c r="E9" i="12"/>
  <c r="F83" i="12"/>
  <c r="E10" i="12"/>
  <c r="E38" i="12"/>
  <c r="E74" i="12"/>
  <c r="F16" i="12"/>
  <c r="E49" i="12"/>
  <c r="F75" i="12"/>
  <c r="F32" i="12"/>
  <c r="F82" i="12"/>
  <c r="E13" i="12"/>
  <c r="F41" i="12"/>
  <c r="F47" i="12"/>
  <c r="E55" i="12"/>
  <c r="E69" i="12"/>
  <c r="F9" i="12"/>
  <c r="E64" i="12"/>
  <c r="E20" i="12"/>
  <c r="F78" i="12"/>
  <c r="E35" i="12"/>
  <c r="F85" i="12"/>
  <c r="E12" i="12"/>
  <c r="F36" i="12"/>
  <c r="E43" i="12"/>
  <c r="F44" i="12"/>
  <c r="E25" i="12"/>
  <c r="E51" i="12"/>
  <c r="F50" i="12"/>
  <c r="E59" i="12"/>
  <c r="F67" i="12"/>
  <c r="E63" i="12"/>
  <c r="E71" i="12"/>
  <c r="E30" i="12"/>
  <c r="E80" i="12"/>
  <c r="E31" i="12"/>
  <c r="E66" i="12"/>
  <c r="F15" i="12"/>
  <c r="E76" i="12"/>
  <c r="F33" i="12"/>
  <c r="E79" i="12"/>
  <c r="E21" i="12"/>
  <c r="F84" i="12"/>
  <c r="F37" i="12"/>
  <c r="E33" i="12"/>
  <c r="F11" i="12"/>
  <c r="E34" i="12"/>
  <c r="E40" i="12"/>
  <c r="F39" i="12"/>
  <c r="F23" i="12"/>
  <c r="E42" i="12"/>
  <c r="E45" i="12"/>
  <c r="F46" i="12"/>
  <c r="F17" i="12"/>
  <c r="F51" i="12"/>
  <c r="F48" i="12"/>
  <c r="E53" i="12"/>
  <c r="E26" i="12"/>
  <c r="E57" i="12"/>
  <c r="F25" i="12"/>
  <c r="E61" i="12"/>
  <c r="F66" i="12"/>
  <c r="F55" i="12"/>
  <c r="F68" i="12"/>
  <c r="F29" i="12"/>
  <c r="F70" i="12"/>
  <c r="E7" i="12"/>
  <c r="E73" i="12"/>
  <c r="F19" i="12"/>
  <c r="F77" i="12"/>
  <c r="E72" i="12"/>
  <c r="E81" i="12"/>
  <c r="F20" i="12"/>
  <c r="F65" i="12"/>
  <c r="F31" i="12"/>
  <c r="F72" i="12"/>
  <c r="E11" i="12"/>
  <c r="E75" i="12"/>
  <c r="E32" i="12"/>
  <c r="F76" i="12"/>
  <c r="F21" i="12"/>
  <c r="F79" i="12"/>
  <c r="F34" i="12"/>
  <c r="F81" i="12"/>
  <c r="F13" i="12"/>
  <c r="E83" i="12"/>
  <c r="E36" i="12"/>
  <c r="E84" i="12"/>
  <c r="E16" i="12"/>
  <c r="E28" i="12"/>
  <c r="E22" i="12"/>
  <c r="F38" i="12"/>
  <c r="F10" i="12"/>
  <c r="F22" i="12"/>
  <c r="E39" i="12"/>
  <c r="F35" i="12"/>
  <c r="F6" i="12"/>
  <c r="E37" i="12"/>
  <c r="E41" i="12"/>
  <c r="F40" i="12"/>
  <c r="E17" i="12"/>
  <c r="F42" i="12"/>
  <c r="E44" i="12"/>
  <c r="F43" i="12"/>
  <c r="E24" i="12"/>
  <c r="F45" i="12"/>
  <c r="E46" i="12"/>
  <c r="E47" i="12"/>
  <c r="F14" i="12"/>
  <c r="E50" i="12"/>
  <c r="E48" i="12"/>
  <c r="F24" i="12"/>
  <c r="F26" i="12"/>
  <c r="E52" i="12"/>
  <c r="F49" i="12"/>
  <c r="E54" i="12"/>
  <c r="E18" i="12"/>
  <c r="F56" i="12"/>
  <c r="E23" i="12"/>
  <c r="E58" i="12"/>
  <c r="E27" i="12"/>
  <c r="F60" i="12"/>
  <c r="F52" i="12"/>
  <c r="F63" i="12"/>
  <c r="E65" i="12"/>
  <c r="F54" i="12"/>
  <c r="E67" i="12"/>
  <c r="F28" i="12"/>
  <c r="E68" i="12"/>
  <c r="E82" i="12"/>
  <c r="F69" i="12"/>
  <c r="E19" i="12"/>
  <c r="E70" i="12"/>
  <c r="E85" i="12"/>
  <c r="F71" i="12"/>
  <c r="E29" i="12"/>
  <c r="F73" i="12"/>
  <c r="F8" i="12"/>
  <c r="F74" i="12"/>
  <c r="E15" i="12"/>
  <c r="E77" i="12"/>
  <c r="F62" i="12"/>
  <c r="E78" i="12"/>
  <c r="F30" i="12"/>
  <c r="F80" i="12"/>
  <c r="F12" i="12"/>
  <c r="E14" i="12"/>
  <c r="F18" i="12"/>
  <c r="F27" i="12"/>
  <c r="F53" i="12"/>
  <c r="F64" i="12"/>
  <c r="A257" i="22" a="1"/>
  <c r="K586" i="22"/>
  <c r="A503" i="22"/>
  <c r="CB582" i="22"/>
  <c r="CA582" i="22"/>
  <c r="BZ582" i="22"/>
  <c r="BY582" i="22"/>
  <c r="BX582" i="22"/>
  <c r="BW582" i="22"/>
  <c r="BV582" i="22"/>
  <c r="BU582" i="22"/>
  <c r="BT582" i="22"/>
  <c r="BS582" i="22"/>
  <c r="BR582" i="22"/>
  <c r="BQ582" i="22"/>
  <c r="BP582" i="22"/>
  <c r="BO582" i="22"/>
  <c r="BN582" i="22"/>
  <c r="BM582" i="22"/>
  <c r="BL582" i="22"/>
  <c r="BK582" i="22"/>
  <c r="BJ582" i="22"/>
  <c r="BI582" i="22"/>
  <c r="BH582" i="22"/>
  <c r="BG582" i="22"/>
  <c r="BF582" i="22"/>
  <c r="BE582" i="22"/>
  <c r="BD582" i="22"/>
  <c r="BC582" i="22"/>
  <c r="BB582" i="22"/>
  <c r="BA582" i="22"/>
  <c r="AZ582" i="22"/>
  <c r="AY582" i="22"/>
  <c r="AX582" i="22"/>
  <c r="AW582" i="22"/>
  <c r="AV582" i="22"/>
  <c r="AU582" i="22"/>
  <c r="AT582" i="22"/>
  <c r="AS582" i="22"/>
  <c r="AR582" i="22"/>
  <c r="AQ582" i="22"/>
  <c r="AP582" i="22"/>
  <c r="AO582" i="22"/>
  <c r="AN582" i="22"/>
  <c r="AM582" i="22"/>
  <c r="AL582" i="22"/>
  <c r="AK582" i="22"/>
  <c r="AJ582" i="22"/>
  <c r="AI582" i="22"/>
  <c r="AH582" i="22"/>
  <c r="AG582" i="22"/>
  <c r="AF582" i="22"/>
  <c r="AE582" i="22"/>
  <c r="AD582" i="22"/>
  <c r="AC582" i="22"/>
  <c r="AB582" i="22"/>
  <c r="AA582" i="22"/>
  <c r="Z582" i="22"/>
  <c r="Y582" i="22"/>
  <c r="X582" i="22"/>
  <c r="W582" i="22"/>
  <c r="V582" i="22"/>
  <c r="U582" i="22"/>
  <c r="T582" i="22"/>
  <c r="S582" i="22"/>
  <c r="R582" i="22"/>
  <c r="Q582" i="22"/>
  <c r="P582" i="22"/>
  <c r="O582" i="22"/>
  <c r="N582" i="22"/>
  <c r="M582" i="22"/>
  <c r="L582" i="22"/>
  <c r="K582" i="22"/>
  <c r="J582" i="22"/>
  <c r="I582" i="22"/>
  <c r="H582" i="22"/>
  <c r="G582" i="22"/>
  <c r="F582" i="22"/>
  <c r="E582" i="22"/>
  <c r="D582" i="22"/>
  <c r="C582" i="22"/>
  <c r="B582" i="22"/>
  <c r="A582" i="22"/>
  <c r="I665" i="22" s="1"/>
  <c r="CB581" i="22"/>
  <c r="CA581" i="22"/>
  <c r="BZ581" i="22"/>
  <c r="BY581" i="22"/>
  <c r="BX581" i="22"/>
  <c r="BW581" i="22"/>
  <c r="BV581" i="22"/>
  <c r="BU581" i="22"/>
  <c r="BT581" i="22"/>
  <c r="BS581" i="22"/>
  <c r="BR581" i="22"/>
  <c r="BQ581" i="22"/>
  <c r="BP581" i="22"/>
  <c r="BO581" i="22"/>
  <c r="BN581" i="22"/>
  <c r="BM581" i="22"/>
  <c r="BL581" i="22"/>
  <c r="BK581" i="22"/>
  <c r="BJ581" i="22"/>
  <c r="BI581" i="22"/>
  <c r="BH581" i="22"/>
  <c r="BG581" i="22"/>
  <c r="BF581" i="22"/>
  <c r="BE581" i="22"/>
  <c r="BD581" i="22"/>
  <c r="BC581" i="22"/>
  <c r="BB581" i="22"/>
  <c r="BA581" i="22"/>
  <c r="AZ581" i="22"/>
  <c r="AY581" i="22"/>
  <c r="AX581" i="22"/>
  <c r="AW581" i="22"/>
  <c r="AV581" i="22"/>
  <c r="AU581" i="22"/>
  <c r="AT581" i="22"/>
  <c r="AS581" i="22"/>
  <c r="AR581" i="22"/>
  <c r="AQ581" i="22"/>
  <c r="AP581" i="22"/>
  <c r="AO581" i="22"/>
  <c r="AN581" i="22"/>
  <c r="AM581" i="22"/>
  <c r="AL581" i="22"/>
  <c r="AK581" i="22"/>
  <c r="AJ581" i="22"/>
  <c r="AI581" i="22"/>
  <c r="AH581" i="22"/>
  <c r="AG581" i="22"/>
  <c r="AF581" i="22"/>
  <c r="AE581" i="22"/>
  <c r="AD581" i="22"/>
  <c r="AC581" i="22"/>
  <c r="AB581" i="22"/>
  <c r="AA581" i="22"/>
  <c r="Z581" i="22"/>
  <c r="Y581" i="22"/>
  <c r="X581" i="22"/>
  <c r="W581" i="22"/>
  <c r="V581" i="22"/>
  <c r="U581" i="22"/>
  <c r="T581" i="22"/>
  <c r="S581" i="22"/>
  <c r="R581" i="22"/>
  <c r="Q581" i="22"/>
  <c r="P581" i="22"/>
  <c r="O581" i="22"/>
  <c r="N581" i="22"/>
  <c r="M581" i="22"/>
  <c r="L581" i="22"/>
  <c r="K581" i="22"/>
  <c r="J581" i="22"/>
  <c r="I581" i="22"/>
  <c r="H581" i="22"/>
  <c r="G581" i="22"/>
  <c r="F581" i="22"/>
  <c r="E581" i="22"/>
  <c r="D581" i="22"/>
  <c r="C581" i="22"/>
  <c r="B581" i="22"/>
  <c r="A581" i="22"/>
  <c r="I664" i="22" s="1"/>
  <c r="CB580" i="22"/>
  <c r="CA580" i="22"/>
  <c r="BZ580" i="22"/>
  <c r="BY580" i="22"/>
  <c r="BX580" i="22"/>
  <c r="BW580" i="22"/>
  <c r="BV580" i="22"/>
  <c r="BU580" i="22"/>
  <c r="BT580" i="22"/>
  <c r="BS580" i="22"/>
  <c r="BR580" i="22"/>
  <c r="BQ580" i="22"/>
  <c r="BP580" i="22"/>
  <c r="BO580" i="22"/>
  <c r="BN580" i="22"/>
  <c r="BM580" i="22"/>
  <c r="BL580" i="22"/>
  <c r="BK580" i="22"/>
  <c r="BJ580" i="22"/>
  <c r="BI580" i="22"/>
  <c r="BH580" i="22"/>
  <c r="BG580" i="22"/>
  <c r="BF580" i="22"/>
  <c r="BE580" i="22"/>
  <c r="BD580" i="22"/>
  <c r="BC580" i="22"/>
  <c r="BB580" i="22"/>
  <c r="BA580" i="22"/>
  <c r="AZ580" i="22"/>
  <c r="AY580" i="22"/>
  <c r="AX580" i="22"/>
  <c r="AW580" i="22"/>
  <c r="AV580" i="22"/>
  <c r="AU580" i="22"/>
  <c r="AT580" i="22"/>
  <c r="AS580" i="22"/>
  <c r="AR580" i="22"/>
  <c r="AQ580" i="22"/>
  <c r="AP580" i="22"/>
  <c r="AO580" i="22"/>
  <c r="AN580" i="22"/>
  <c r="AM580" i="22"/>
  <c r="AL580" i="22"/>
  <c r="AK580" i="22"/>
  <c r="AJ580" i="22"/>
  <c r="AI580" i="22"/>
  <c r="AH580" i="22"/>
  <c r="AG580" i="22"/>
  <c r="AF580" i="22"/>
  <c r="AE580" i="22"/>
  <c r="AD580" i="22"/>
  <c r="AC580" i="22"/>
  <c r="AB580" i="22"/>
  <c r="AA580" i="22"/>
  <c r="Z580" i="22"/>
  <c r="Y580" i="22"/>
  <c r="X580" i="22"/>
  <c r="W580" i="22"/>
  <c r="V580" i="22"/>
  <c r="U580" i="22"/>
  <c r="T580" i="22"/>
  <c r="S580" i="22"/>
  <c r="R580" i="22"/>
  <c r="Q580" i="22"/>
  <c r="P580" i="22"/>
  <c r="O580" i="22"/>
  <c r="N580" i="22"/>
  <c r="M580" i="22"/>
  <c r="L580" i="22"/>
  <c r="K580" i="22"/>
  <c r="J580" i="22"/>
  <c r="I580" i="22"/>
  <c r="H580" i="22"/>
  <c r="G580" i="22"/>
  <c r="F580" i="22"/>
  <c r="E580" i="22"/>
  <c r="D580" i="22"/>
  <c r="C580" i="22"/>
  <c r="B580" i="22"/>
  <c r="A580" i="22"/>
  <c r="I663" i="22" s="1"/>
  <c r="CB579" i="22"/>
  <c r="CA579" i="22"/>
  <c r="BZ579" i="22"/>
  <c r="BY579" i="22"/>
  <c r="BX579" i="22"/>
  <c r="BW579" i="22"/>
  <c r="BV579" i="22"/>
  <c r="BU579" i="22"/>
  <c r="BT579" i="22"/>
  <c r="BS579" i="22"/>
  <c r="BR579" i="22"/>
  <c r="BQ579" i="22"/>
  <c r="BP579" i="22"/>
  <c r="BO579" i="22"/>
  <c r="BN579" i="22"/>
  <c r="BM579" i="22"/>
  <c r="BL579" i="22"/>
  <c r="BK579" i="22"/>
  <c r="BJ579" i="22"/>
  <c r="BI579" i="22"/>
  <c r="BH579" i="22"/>
  <c r="BG579" i="22"/>
  <c r="BF579" i="22"/>
  <c r="BE579" i="22"/>
  <c r="BD579" i="22"/>
  <c r="BC579" i="22"/>
  <c r="BB579" i="22"/>
  <c r="BA579" i="22"/>
  <c r="AZ579" i="22"/>
  <c r="AY579" i="22"/>
  <c r="AX579" i="22"/>
  <c r="AW579" i="22"/>
  <c r="AV579" i="22"/>
  <c r="AU579" i="22"/>
  <c r="AT579" i="22"/>
  <c r="AS579" i="22"/>
  <c r="AR579" i="22"/>
  <c r="AQ579" i="22"/>
  <c r="AP579" i="22"/>
  <c r="AO579" i="22"/>
  <c r="AN579" i="22"/>
  <c r="AM579" i="22"/>
  <c r="AL579" i="22"/>
  <c r="AK579" i="22"/>
  <c r="AJ579" i="22"/>
  <c r="AI579" i="22"/>
  <c r="AH579" i="22"/>
  <c r="AG579" i="22"/>
  <c r="AF579" i="22"/>
  <c r="AE579" i="22"/>
  <c r="AD579" i="22"/>
  <c r="AC579" i="22"/>
  <c r="AB579" i="22"/>
  <c r="AA579" i="22"/>
  <c r="Z579" i="22"/>
  <c r="Y579" i="22"/>
  <c r="X579" i="22"/>
  <c r="W579" i="22"/>
  <c r="V579" i="22"/>
  <c r="U579" i="22"/>
  <c r="T579" i="22"/>
  <c r="S579" i="22"/>
  <c r="R579" i="22"/>
  <c r="Q579" i="22"/>
  <c r="P579" i="22"/>
  <c r="O579" i="22"/>
  <c r="N579" i="22"/>
  <c r="M579" i="22"/>
  <c r="L579" i="22"/>
  <c r="K579" i="22"/>
  <c r="J579" i="22"/>
  <c r="I579" i="22"/>
  <c r="H579" i="22"/>
  <c r="G579" i="22"/>
  <c r="F579" i="22"/>
  <c r="E579" i="22"/>
  <c r="D579" i="22"/>
  <c r="C579" i="22"/>
  <c r="B579" i="22"/>
  <c r="A579" i="22"/>
  <c r="I662" i="22" s="1"/>
  <c r="CB578" i="22"/>
  <c r="CA578" i="22"/>
  <c r="BZ578" i="22"/>
  <c r="BY578" i="22"/>
  <c r="BX578" i="22"/>
  <c r="BW578" i="22"/>
  <c r="BV578" i="22"/>
  <c r="BU578" i="22"/>
  <c r="BT578" i="22"/>
  <c r="BS578" i="22"/>
  <c r="BR578" i="22"/>
  <c r="BQ578" i="22"/>
  <c r="BP578" i="22"/>
  <c r="BO578" i="22"/>
  <c r="BN578" i="22"/>
  <c r="BM578" i="22"/>
  <c r="BL578" i="22"/>
  <c r="BK578" i="22"/>
  <c r="BJ578" i="22"/>
  <c r="BI578" i="22"/>
  <c r="BH578" i="22"/>
  <c r="BG578" i="22"/>
  <c r="BF578" i="22"/>
  <c r="BE578" i="22"/>
  <c r="BD578" i="22"/>
  <c r="BC578" i="22"/>
  <c r="BB578" i="22"/>
  <c r="BA578" i="22"/>
  <c r="AZ578" i="22"/>
  <c r="AY578" i="22"/>
  <c r="AX578" i="22"/>
  <c r="AW578" i="22"/>
  <c r="AV578" i="22"/>
  <c r="AU578" i="22"/>
  <c r="AT578" i="22"/>
  <c r="AS578" i="22"/>
  <c r="AR578" i="22"/>
  <c r="AQ578" i="22"/>
  <c r="AP578" i="22"/>
  <c r="AO578" i="22"/>
  <c r="AN578" i="22"/>
  <c r="AM578" i="22"/>
  <c r="AL578" i="22"/>
  <c r="AK578" i="22"/>
  <c r="AJ578" i="22"/>
  <c r="AI578" i="22"/>
  <c r="AH578" i="22"/>
  <c r="AG578" i="22"/>
  <c r="AF578" i="22"/>
  <c r="AE578" i="22"/>
  <c r="AD578" i="22"/>
  <c r="AC578" i="22"/>
  <c r="AB578" i="22"/>
  <c r="AA578" i="22"/>
  <c r="Z578" i="22"/>
  <c r="Y578" i="22"/>
  <c r="X578" i="22"/>
  <c r="W578" i="22"/>
  <c r="V578" i="22"/>
  <c r="U578" i="22"/>
  <c r="T578" i="22"/>
  <c r="S578" i="22"/>
  <c r="R578" i="22"/>
  <c r="Q578" i="22"/>
  <c r="P578" i="22"/>
  <c r="O578" i="22"/>
  <c r="N578" i="22"/>
  <c r="M578" i="22"/>
  <c r="L578" i="22"/>
  <c r="K578" i="22"/>
  <c r="J578" i="22"/>
  <c r="I578" i="22"/>
  <c r="H578" i="22"/>
  <c r="G578" i="22"/>
  <c r="F578" i="22"/>
  <c r="E578" i="22"/>
  <c r="D578" i="22"/>
  <c r="C578" i="22"/>
  <c r="B578" i="22"/>
  <c r="A578" i="22"/>
  <c r="I661" i="22" s="1"/>
  <c r="CB577" i="22"/>
  <c r="CA577" i="22"/>
  <c r="BZ577" i="22"/>
  <c r="BY577" i="22"/>
  <c r="BX577" i="22"/>
  <c r="BW577" i="22"/>
  <c r="BV577" i="22"/>
  <c r="BU577" i="22"/>
  <c r="BT577" i="22"/>
  <c r="BS577" i="22"/>
  <c r="BR577" i="22"/>
  <c r="BQ577" i="22"/>
  <c r="BP577" i="22"/>
  <c r="BO577" i="22"/>
  <c r="BN577" i="22"/>
  <c r="BM577" i="22"/>
  <c r="BL577" i="22"/>
  <c r="BK577" i="22"/>
  <c r="BJ577" i="22"/>
  <c r="BI577" i="22"/>
  <c r="BH577" i="22"/>
  <c r="BG577" i="22"/>
  <c r="BF577" i="22"/>
  <c r="BE577" i="22"/>
  <c r="BD577" i="22"/>
  <c r="BC577" i="22"/>
  <c r="BB577" i="22"/>
  <c r="BA577" i="22"/>
  <c r="AZ577" i="22"/>
  <c r="AY577" i="22"/>
  <c r="AX577" i="22"/>
  <c r="AW577" i="22"/>
  <c r="AV577" i="22"/>
  <c r="AU577" i="22"/>
  <c r="AT577" i="22"/>
  <c r="AS577" i="22"/>
  <c r="AR577" i="22"/>
  <c r="AQ577" i="22"/>
  <c r="AP577" i="22"/>
  <c r="AO577" i="22"/>
  <c r="AN577" i="22"/>
  <c r="AM577" i="22"/>
  <c r="AL577" i="22"/>
  <c r="AK577" i="22"/>
  <c r="AJ577" i="22"/>
  <c r="AI577" i="22"/>
  <c r="AH577" i="22"/>
  <c r="AG577" i="22"/>
  <c r="AF577" i="22"/>
  <c r="AE577" i="22"/>
  <c r="AD577" i="22"/>
  <c r="AC577" i="22"/>
  <c r="AB577" i="22"/>
  <c r="AA577" i="22"/>
  <c r="Z577" i="22"/>
  <c r="Y577" i="22"/>
  <c r="X577" i="22"/>
  <c r="W577" i="22"/>
  <c r="V577" i="22"/>
  <c r="U577" i="22"/>
  <c r="T577" i="22"/>
  <c r="S577" i="22"/>
  <c r="R577" i="22"/>
  <c r="Q577" i="22"/>
  <c r="P577" i="22"/>
  <c r="O577" i="22"/>
  <c r="N577" i="22"/>
  <c r="M577" i="22"/>
  <c r="L577" i="22"/>
  <c r="K577" i="22"/>
  <c r="J577" i="22"/>
  <c r="I577" i="22"/>
  <c r="H577" i="22"/>
  <c r="G577" i="22"/>
  <c r="F577" i="22"/>
  <c r="E577" i="22"/>
  <c r="D577" i="22"/>
  <c r="C577" i="22"/>
  <c r="B577" i="22"/>
  <c r="A577" i="22"/>
  <c r="I660" i="22" s="1"/>
  <c r="CB576" i="22"/>
  <c r="CA576" i="22"/>
  <c r="BZ576" i="22"/>
  <c r="BY576" i="22"/>
  <c r="BX576" i="22"/>
  <c r="BW576" i="22"/>
  <c r="BV576" i="22"/>
  <c r="BU576" i="22"/>
  <c r="BT576" i="22"/>
  <c r="BS576" i="22"/>
  <c r="BR576" i="22"/>
  <c r="BQ576" i="22"/>
  <c r="BP576" i="22"/>
  <c r="BO576" i="22"/>
  <c r="BN576" i="22"/>
  <c r="BM576" i="22"/>
  <c r="BL576" i="22"/>
  <c r="BK576" i="22"/>
  <c r="BJ576" i="22"/>
  <c r="BI576" i="22"/>
  <c r="BH576" i="22"/>
  <c r="BG576" i="22"/>
  <c r="BF576" i="22"/>
  <c r="BE576" i="22"/>
  <c r="BD576" i="22"/>
  <c r="BC576" i="22"/>
  <c r="BB576" i="22"/>
  <c r="BA576" i="22"/>
  <c r="AZ576" i="22"/>
  <c r="AY576" i="22"/>
  <c r="AX576" i="22"/>
  <c r="AW576" i="22"/>
  <c r="AV576" i="22"/>
  <c r="AU576" i="22"/>
  <c r="AT576" i="22"/>
  <c r="AS576" i="22"/>
  <c r="AR576" i="22"/>
  <c r="AQ576" i="22"/>
  <c r="AP576" i="22"/>
  <c r="AO576" i="22"/>
  <c r="AN576" i="22"/>
  <c r="AM576" i="22"/>
  <c r="AL576" i="22"/>
  <c r="AK576" i="22"/>
  <c r="AJ576" i="22"/>
  <c r="AI576" i="22"/>
  <c r="AH576" i="22"/>
  <c r="AG576" i="22"/>
  <c r="AF576" i="22"/>
  <c r="AE576" i="22"/>
  <c r="AD576" i="22"/>
  <c r="AC576" i="22"/>
  <c r="AB576" i="22"/>
  <c r="AA576" i="22"/>
  <c r="Z576" i="22"/>
  <c r="Y576" i="22"/>
  <c r="X576" i="22"/>
  <c r="W576" i="22"/>
  <c r="V576" i="22"/>
  <c r="U576" i="22"/>
  <c r="T576" i="22"/>
  <c r="S576" i="22"/>
  <c r="R576" i="22"/>
  <c r="Q576" i="22"/>
  <c r="P576" i="22"/>
  <c r="O576" i="22"/>
  <c r="N576" i="22"/>
  <c r="M576" i="22"/>
  <c r="L576" i="22"/>
  <c r="K576" i="22"/>
  <c r="J576" i="22"/>
  <c r="I576" i="22"/>
  <c r="H576" i="22"/>
  <c r="G576" i="22"/>
  <c r="F576" i="22"/>
  <c r="E576" i="22"/>
  <c r="D576" i="22"/>
  <c r="C576" i="22"/>
  <c r="B576" i="22"/>
  <c r="A576" i="22"/>
  <c r="I659" i="22" s="1"/>
  <c r="CB575" i="22"/>
  <c r="CA575" i="22"/>
  <c r="BZ575" i="22"/>
  <c r="BY575" i="22"/>
  <c r="BX575" i="22"/>
  <c r="BW575" i="22"/>
  <c r="BV575" i="22"/>
  <c r="BU575" i="22"/>
  <c r="BT575" i="22"/>
  <c r="BS575" i="22"/>
  <c r="BR575" i="22"/>
  <c r="BQ575" i="22"/>
  <c r="BP575" i="22"/>
  <c r="BO575" i="22"/>
  <c r="BN575" i="22"/>
  <c r="BM575" i="22"/>
  <c r="BL575" i="22"/>
  <c r="BK575" i="22"/>
  <c r="BJ575" i="22"/>
  <c r="BI575" i="22"/>
  <c r="BH575" i="22"/>
  <c r="BG575" i="22"/>
  <c r="BF575" i="22"/>
  <c r="BE575" i="22"/>
  <c r="BD575" i="22"/>
  <c r="BC575" i="22"/>
  <c r="BB575" i="22"/>
  <c r="BA575" i="22"/>
  <c r="AZ575" i="22"/>
  <c r="AY575" i="22"/>
  <c r="AX575" i="22"/>
  <c r="AW575" i="22"/>
  <c r="AV575" i="22"/>
  <c r="AU575" i="22"/>
  <c r="AT575" i="22"/>
  <c r="AS575" i="22"/>
  <c r="AR575" i="22"/>
  <c r="AQ575" i="22"/>
  <c r="AP575" i="22"/>
  <c r="AO575" i="22"/>
  <c r="AN575" i="22"/>
  <c r="AM575" i="22"/>
  <c r="AL575" i="22"/>
  <c r="AK575" i="22"/>
  <c r="AJ575" i="22"/>
  <c r="AI575" i="22"/>
  <c r="AH575" i="22"/>
  <c r="AG575" i="22"/>
  <c r="AF575" i="22"/>
  <c r="AE575" i="22"/>
  <c r="AD575" i="22"/>
  <c r="AC575" i="22"/>
  <c r="AB575" i="22"/>
  <c r="AA575" i="22"/>
  <c r="Z575" i="22"/>
  <c r="Y575" i="22"/>
  <c r="X575" i="22"/>
  <c r="W575" i="22"/>
  <c r="V575" i="22"/>
  <c r="U575" i="22"/>
  <c r="T575" i="22"/>
  <c r="S575" i="22"/>
  <c r="R575" i="22"/>
  <c r="Q575" i="22"/>
  <c r="P575" i="22"/>
  <c r="O575" i="22"/>
  <c r="N575" i="22"/>
  <c r="M575" i="22"/>
  <c r="L575" i="22"/>
  <c r="K575" i="22"/>
  <c r="J575" i="22"/>
  <c r="I575" i="22"/>
  <c r="H575" i="22"/>
  <c r="G575" i="22"/>
  <c r="F575" i="22"/>
  <c r="E575" i="22"/>
  <c r="D575" i="22"/>
  <c r="C575" i="22"/>
  <c r="B575" i="22"/>
  <c r="A575" i="22"/>
  <c r="I658" i="22" s="1"/>
  <c r="CB574" i="22"/>
  <c r="CA574" i="22"/>
  <c r="BZ574" i="22"/>
  <c r="BY574" i="22"/>
  <c r="BX574" i="22"/>
  <c r="BW574" i="22"/>
  <c r="BV574" i="22"/>
  <c r="BU574" i="22"/>
  <c r="BT574" i="22"/>
  <c r="BS574" i="22"/>
  <c r="BR574" i="22"/>
  <c r="BQ574" i="22"/>
  <c r="BP574" i="22"/>
  <c r="BO574" i="22"/>
  <c r="BN574" i="22"/>
  <c r="BM574" i="22"/>
  <c r="BL574" i="22"/>
  <c r="BK574" i="22"/>
  <c r="BJ574" i="22"/>
  <c r="BI574" i="22"/>
  <c r="BH574" i="22"/>
  <c r="BG574" i="22"/>
  <c r="BF574" i="22"/>
  <c r="BE574" i="22"/>
  <c r="BD574" i="22"/>
  <c r="BC574" i="22"/>
  <c r="BB574" i="22"/>
  <c r="BA574" i="22"/>
  <c r="AZ574" i="22"/>
  <c r="AY574" i="22"/>
  <c r="AX574" i="22"/>
  <c r="AW574" i="22"/>
  <c r="AV574" i="22"/>
  <c r="AU574" i="22"/>
  <c r="AT574" i="22"/>
  <c r="AS574" i="22"/>
  <c r="AR574" i="22"/>
  <c r="AQ574" i="22"/>
  <c r="AP574" i="22"/>
  <c r="AO574" i="22"/>
  <c r="AN574" i="22"/>
  <c r="AM574" i="22"/>
  <c r="AL574" i="22"/>
  <c r="AK574" i="22"/>
  <c r="AJ574" i="22"/>
  <c r="AI574" i="22"/>
  <c r="AH574" i="22"/>
  <c r="AG574" i="22"/>
  <c r="AF574" i="22"/>
  <c r="AE574" i="22"/>
  <c r="AD574" i="22"/>
  <c r="AC574" i="22"/>
  <c r="AB574" i="22"/>
  <c r="AA574" i="22"/>
  <c r="Z574" i="22"/>
  <c r="Y574" i="22"/>
  <c r="X574" i="22"/>
  <c r="W574" i="22"/>
  <c r="V574" i="22"/>
  <c r="U574" i="22"/>
  <c r="T574" i="22"/>
  <c r="S574" i="22"/>
  <c r="R574" i="22"/>
  <c r="Q574" i="22"/>
  <c r="P574" i="22"/>
  <c r="O574" i="22"/>
  <c r="N574" i="22"/>
  <c r="M574" i="22"/>
  <c r="L574" i="22"/>
  <c r="K574" i="22"/>
  <c r="J574" i="22"/>
  <c r="I574" i="22"/>
  <c r="H574" i="22"/>
  <c r="G574" i="22"/>
  <c r="F574" i="22"/>
  <c r="E574" i="22"/>
  <c r="D574" i="22"/>
  <c r="C574" i="22"/>
  <c r="B574" i="22"/>
  <c r="A574" i="22"/>
  <c r="I657" i="22" s="1"/>
  <c r="CB573" i="22"/>
  <c r="CA573" i="22"/>
  <c r="BZ573" i="22"/>
  <c r="BY573" i="22"/>
  <c r="BX573" i="22"/>
  <c r="BW573" i="22"/>
  <c r="BV573" i="22"/>
  <c r="BU573" i="22"/>
  <c r="BT573" i="22"/>
  <c r="BS573" i="22"/>
  <c r="BR573" i="22"/>
  <c r="BQ573" i="22"/>
  <c r="BP573" i="22"/>
  <c r="BO573" i="22"/>
  <c r="BN573" i="22"/>
  <c r="BM573" i="22"/>
  <c r="BL573" i="22"/>
  <c r="BK573" i="22"/>
  <c r="BJ573" i="22"/>
  <c r="BI573" i="22"/>
  <c r="BH573" i="22"/>
  <c r="BG573" i="22"/>
  <c r="BF573" i="22"/>
  <c r="BE573" i="22"/>
  <c r="BD573" i="22"/>
  <c r="BC573" i="22"/>
  <c r="BB573" i="22"/>
  <c r="BA573" i="22"/>
  <c r="AZ573" i="22"/>
  <c r="AY573" i="22"/>
  <c r="AX573" i="22"/>
  <c r="AW573" i="22"/>
  <c r="AV573" i="22"/>
  <c r="AU573" i="22"/>
  <c r="AT573" i="22"/>
  <c r="AS573" i="22"/>
  <c r="AR573" i="22"/>
  <c r="AQ573" i="22"/>
  <c r="AP573" i="22"/>
  <c r="AO573" i="22"/>
  <c r="AN573" i="22"/>
  <c r="AM573" i="22"/>
  <c r="AL573" i="22"/>
  <c r="AK573" i="22"/>
  <c r="AJ573" i="22"/>
  <c r="AI573" i="22"/>
  <c r="AH573" i="22"/>
  <c r="AG573" i="22"/>
  <c r="AF573" i="22"/>
  <c r="AE573" i="22"/>
  <c r="AD573" i="22"/>
  <c r="AC573" i="22"/>
  <c r="AB573" i="22"/>
  <c r="AA573" i="22"/>
  <c r="Z573" i="22"/>
  <c r="Y573" i="22"/>
  <c r="X573" i="22"/>
  <c r="W573" i="22"/>
  <c r="V573" i="22"/>
  <c r="U573" i="22"/>
  <c r="T573" i="22"/>
  <c r="S573" i="22"/>
  <c r="R573" i="22"/>
  <c r="Q573" i="22"/>
  <c r="P573" i="22"/>
  <c r="O573" i="22"/>
  <c r="N573" i="22"/>
  <c r="M573" i="22"/>
  <c r="L573" i="22"/>
  <c r="K573" i="22"/>
  <c r="J573" i="22"/>
  <c r="I573" i="22"/>
  <c r="H573" i="22"/>
  <c r="G573" i="22"/>
  <c r="F573" i="22"/>
  <c r="E573" i="22"/>
  <c r="D573" i="22"/>
  <c r="C573" i="22"/>
  <c r="B573" i="22"/>
  <c r="A573" i="22"/>
  <c r="I656" i="22" s="1"/>
  <c r="CB572" i="22"/>
  <c r="CA572" i="22"/>
  <c r="BZ572" i="22"/>
  <c r="BY572" i="22"/>
  <c r="BX572" i="22"/>
  <c r="BW572" i="22"/>
  <c r="BV572" i="22"/>
  <c r="BU572" i="22"/>
  <c r="BT572" i="22"/>
  <c r="BS572" i="22"/>
  <c r="BR572" i="22"/>
  <c r="BQ572" i="22"/>
  <c r="BP572" i="22"/>
  <c r="BO572" i="22"/>
  <c r="BN572" i="22"/>
  <c r="BM572" i="22"/>
  <c r="BL572" i="22"/>
  <c r="BK572" i="22"/>
  <c r="BJ572" i="22"/>
  <c r="BI572" i="22"/>
  <c r="BH572" i="22"/>
  <c r="BG572" i="22"/>
  <c r="BF572" i="22"/>
  <c r="BE572" i="22"/>
  <c r="BD572" i="22"/>
  <c r="BC572" i="22"/>
  <c r="BB572" i="22"/>
  <c r="BA572" i="22"/>
  <c r="AZ572" i="22"/>
  <c r="AY572" i="22"/>
  <c r="AX572" i="22"/>
  <c r="AW572" i="22"/>
  <c r="AV572" i="22"/>
  <c r="AU572" i="22"/>
  <c r="AT572" i="22"/>
  <c r="AS572" i="22"/>
  <c r="AR572" i="22"/>
  <c r="AQ572" i="22"/>
  <c r="AP572" i="22"/>
  <c r="AO572" i="22"/>
  <c r="AN572" i="22"/>
  <c r="AM572" i="22"/>
  <c r="AL572" i="22"/>
  <c r="AK572" i="22"/>
  <c r="AJ572" i="22"/>
  <c r="AI572" i="22"/>
  <c r="AH572" i="22"/>
  <c r="AG572" i="22"/>
  <c r="AF572" i="22"/>
  <c r="AE572" i="22"/>
  <c r="AD572" i="22"/>
  <c r="AC572" i="22"/>
  <c r="AB572" i="22"/>
  <c r="AA572" i="22"/>
  <c r="Z572" i="22"/>
  <c r="Y572" i="22"/>
  <c r="X572" i="22"/>
  <c r="W572" i="22"/>
  <c r="V572" i="22"/>
  <c r="U572" i="22"/>
  <c r="T572" i="22"/>
  <c r="S572" i="22"/>
  <c r="R572" i="22"/>
  <c r="Q572" i="22"/>
  <c r="P572" i="22"/>
  <c r="O572" i="22"/>
  <c r="N572" i="22"/>
  <c r="M572" i="22"/>
  <c r="L572" i="22"/>
  <c r="K572" i="22"/>
  <c r="J572" i="22"/>
  <c r="I572" i="22"/>
  <c r="H572" i="22"/>
  <c r="G572" i="22"/>
  <c r="F572" i="22"/>
  <c r="E572" i="22"/>
  <c r="D572" i="22"/>
  <c r="C572" i="22"/>
  <c r="B572" i="22"/>
  <c r="A572" i="22"/>
  <c r="I655" i="22" s="1"/>
  <c r="CB571" i="22"/>
  <c r="CA571" i="22"/>
  <c r="BZ571" i="22"/>
  <c r="BY571" i="22"/>
  <c r="BX571" i="22"/>
  <c r="BW571" i="22"/>
  <c r="BV571" i="22"/>
  <c r="BU571" i="22"/>
  <c r="BT571" i="22"/>
  <c r="BS571" i="22"/>
  <c r="BR571" i="22"/>
  <c r="BQ571" i="22"/>
  <c r="BP571" i="22"/>
  <c r="BO571" i="22"/>
  <c r="BN571" i="22"/>
  <c r="BM571" i="22"/>
  <c r="BL571" i="22"/>
  <c r="BK571" i="22"/>
  <c r="BJ571" i="22"/>
  <c r="BI571" i="22"/>
  <c r="BH571" i="22"/>
  <c r="BG571" i="22"/>
  <c r="BF571" i="22"/>
  <c r="BE571" i="22"/>
  <c r="BD571" i="22"/>
  <c r="BC571" i="22"/>
  <c r="BB571" i="22"/>
  <c r="BA571" i="22"/>
  <c r="AZ571" i="22"/>
  <c r="AY571" i="22"/>
  <c r="AX571" i="22"/>
  <c r="AW571" i="22"/>
  <c r="AV571" i="22"/>
  <c r="AU571" i="22"/>
  <c r="AT571" i="22"/>
  <c r="AS571" i="22"/>
  <c r="AR571" i="22"/>
  <c r="AQ571" i="22"/>
  <c r="AP571" i="22"/>
  <c r="AO571" i="22"/>
  <c r="AN571" i="22"/>
  <c r="AM571" i="22"/>
  <c r="AL571" i="22"/>
  <c r="AK571" i="22"/>
  <c r="AJ571" i="22"/>
  <c r="AI571" i="22"/>
  <c r="AH571" i="22"/>
  <c r="AG571" i="22"/>
  <c r="AF571" i="22"/>
  <c r="AE571" i="22"/>
  <c r="AD571" i="22"/>
  <c r="AC571" i="22"/>
  <c r="AB571" i="22"/>
  <c r="AA571" i="22"/>
  <c r="Z571" i="22"/>
  <c r="Y571" i="22"/>
  <c r="X571" i="22"/>
  <c r="W571" i="22"/>
  <c r="V571" i="22"/>
  <c r="U571" i="22"/>
  <c r="T571" i="22"/>
  <c r="S571" i="22"/>
  <c r="R571" i="22"/>
  <c r="Q571" i="22"/>
  <c r="P571" i="22"/>
  <c r="O571" i="22"/>
  <c r="N571" i="22"/>
  <c r="M571" i="22"/>
  <c r="L571" i="22"/>
  <c r="K571" i="22"/>
  <c r="J571" i="22"/>
  <c r="I571" i="22"/>
  <c r="H571" i="22"/>
  <c r="G571" i="22"/>
  <c r="F571" i="22"/>
  <c r="E571" i="22"/>
  <c r="D571" i="22"/>
  <c r="C571" i="22"/>
  <c r="B571" i="22"/>
  <c r="A571" i="22"/>
  <c r="I654" i="22" s="1"/>
  <c r="CB570" i="22"/>
  <c r="CA570" i="22"/>
  <c r="BZ570" i="22"/>
  <c r="BY570" i="22"/>
  <c r="BX570" i="22"/>
  <c r="BW570" i="22"/>
  <c r="BV570" i="22"/>
  <c r="BU570" i="22"/>
  <c r="BT570" i="22"/>
  <c r="BS570" i="22"/>
  <c r="BR570" i="22"/>
  <c r="BQ570" i="22"/>
  <c r="BP570" i="22"/>
  <c r="BO570" i="22"/>
  <c r="BN570" i="22"/>
  <c r="BM570" i="22"/>
  <c r="BL570" i="22"/>
  <c r="BK570" i="22"/>
  <c r="BJ570" i="22"/>
  <c r="BI570" i="22"/>
  <c r="BH570" i="22"/>
  <c r="BG570" i="22"/>
  <c r="BF570" i="22"/>
  <c r="BE570" i="22"/>
  <c r="BD570" i="22"/>
  <c r="BC570" i="22"/>
  <c r="BB570" i="22"/>
  <c r="BA570" i="22"/>
  <c r="AZ570" i="22"/>
  <c r="AY570" i="22"/>
  <c r="AX570" i="22"/>
  <c r="AW570" i="22"/>
  <c r="AV570" i="22"/>
  <c r="AU570" i="22"/>
  <c r="AT570" i="22"/>
  <c r="AS570" i="22"/>
  <c r="AR570" i="22"/>
  <c r="AQ570" i="22"/>
  <c r="AP570" i="22"/>
  <c r="AO570" i="22"/>
  <c r="AN570" i="22"/>
  <c r="AM570" i="22"/>
  <c r="AL570" i="22"/>
  <c r="AK570" i="22"/>
  <c r="AJ570" i="22"/>
  <c r="AI570" i="22"/>
  <c r="AH570" i="22"/>
  <c r="AG570" i="22"/>
  <c r="AF570" i="22"/>
  <c r="AE570" i="22"/>
  <c r="AD570" i="22"/>
  <c r="AC570" i="22"/>
  <c r="AB570" i="22"/>
  <c r="AA570" i="22"/>
  <c r="Z570" i="22"/>
  <c r="Y570" i="22"/>
  <c r="X570" i="22"/>
  <c r="W570" i="22"/>
  <c r="V570" i="22"/>
  <c r="U570" i="22"/>
  <c r="T570" i="22"/>
  <c r="S570" i="22"/>
  <c r="R570" i="22"/>
  <c r="Q570" i="22"/>
  <c r="P570" i="22"/>
  <c r="O570" i="22"/>
  <c r="N570" i="22"/>
  <c r="M570" i="22"/>
  <c r="L570" i="22"/>
  <c r="K570" i="22"/>
  <c r="J570" i="22"/>
  <c r="I570" i="22"/>
  <c r="H570" i="22"/>
  <c r="G570" i="22"/>
  <c r="F570" i="22"/>
  <c r="E570" i="22"/>
  <c r="D570" i="22"/>
  <c r="C570" i="22"/>
  <c r="B570" i="22"/>
  <c r="A570" i="22"/>
  <c r="I653" i="22" s="1"/>
  <c r="CB569" i="22"/>
  <c r="CA569" i="22"/>
  <c r="BZ569" i="22"/>
  <c r="BY569" i="22"/>
  <c r="BX569" i="22"/>
  <c r="BW569" i="22"/>
  <c r="BV569" i="22"/>
  <c r="BU569" i="22"/>
  <c r="BT569" i="22"/>
  <c r="BS569" i="22"/>
  <c r="BR569" i="22"/>
  <c r="BQ569" i="22"/>
  <c r="BP569" i="22"/>
  <c r="BO569" i="22"/>
  <c r="BN569" i="22"/>
  <c r="BM569" i="22"/>
  <c r="BL569" i="22"/>
  <c r="BK569" i="22"/>
  <c r="BJ569" i="22"/>
  <c r="BI569" i="22"/>
  <c r="BH569" i="22"/>
  <c r="BG569" i="22"/>
  <c r="BF569" i="22"/>
  <c r="BE569" i="22"/>
  <c r="BD569" i="22"/>
  <c r="BC569" i="22"/>
  <c r="BB569" i="22"/>
  <c r="BA569" i="22"/>
  <c r="AZ569" i="22"/>
  <c r="AY569" i="22"/>
  <c r="AX569" i="22"/>
  <c r="AW569" i="22"/>
  <c r="AV569" i="22"/>
  <c r="AU569" i="22"/>
  <c r="AT569" i="22"/>
  <c r="AS569" i="22"/>
  <c r="AR569" i="22"/>
  <c r="AQ569" i="22"/>
  <c r="AP569" i="22"/>
  <c r="AO569" i="22"/>
  <c r="AN569" i="22"/>
  <c r="AM569" i="22"/>
  <c r="AL569" i="22"/>
  <c r="AK569" i="22"/>
  <c r="AJ569" i="22"/>
  <c r="AI569" i="22"/>
  <c r="AH569" i="22"/>
  <c r="AG569" i="22"/>
  <c r="AF569" i="22"/>
  <c r="AE569" i="22"/>
  <c r="AD569" i="22"/>
  <c r="AC569" i="22"/>
  <c r="AB569" i="22"/>
  <c r="AA569" i="22"/>
  <c r="Z569" i="22"/>
  <c r="Y569" i="22"/>
  <c r="X569" i="22"/>
  <c r="W569" i="22"/>
  <c r="V569" i="22"/>
  <c r="U569" i="22"/>
  <c r="T569" i="22"/>
  <c r="S569" i="22"/>
  <c r="R569" i="22"/>
  <c r="Q569" i="22"/>
  <c r="P569" i="22"/>
  <c r="O569" i="22"/>
  <c r="N569" i="22"/>
  <c r="M569" i="22"/>
  <c r="L569" i="22"/>
  <c r="K569" i="22"/>
  <c r="J569" i="22"/>
  <c r="I569" i="22"/>
  <c r="H569" i="22"/>
  <c r="G569" i="22"/>
  <c r="F569" i="22"/>
  <c r="E569" i="22"/>
  <c r="D569" i="22"/>
  <c r="C569" i="22"/>
  <c r="B569" i="22"/>
  <c r="A569" i="22"/>
  <c r="CB568" i="22"/>
  <c r="CA568" i="22"/>
  <c r="BZ568" i="22"/>
  <c r="BY568" i="22"/>
  <c r="BX568" i="22"/>
  <c r="BW568" i="22"/>
  <c r="BV568" i="22"/>
  <c r="BU568" i="22"/>
  <c r="BT568" i="22"/>
  <c r="BS568" i="22"/>
  <c r="BR568" i="22"/>
  <c r="BQ568" i="22"/>
  <c r="BP568" i="22"/>
  <c r="BO568" i="22"/>
  <c r="BN568" i="22"/>
  <c r="BM568" i="22"/>
  <c r="BL568" i="22"/>
  <c r="BK568" i="22"/>
  <c r="BJ568" i="22"/>
  <c r="BI568" i="22"/>
  <c r="BH568" i="22"/>
  <c r="BG568" i="22"/>
  <c r="BF568" i="22"/>
  <c r="BE568" i="22"/>
  <c r="BD568" i="22"/>
  <c r="BC568" i="22"/>
  <c r="BB568" i="22"/>
  <c r="BA568" i="22"/>
  <c r="AZ568" i="22"/>
  <c r="AY568" i="22"/>
  <c r="AX568" i="22"/>
  <c r="AW568" i="22"/>
  <c r="AV568" i="22"/>
  <c r="AU568" i="22"/>
  <c r="AT568" i="22"/>
  <c r="AS568" i="22"/>
  <c r="AR568" i="22"/>
  <c r="AQ568" i="22"/>
  <c r="AP568" i="22"/>
  <c r="AO568" i="22"/>
  <c r="AN568" i="22"/>
  <c r="AM568" i="22"/>
  <c r="AL568" i="22"/>
  <c r="AK568" i="22"/>
  <c r="AJ568" i="22"/>
  <c r="AI568" i="22"/>
  <c r="AH568" i="22"/>
  <c r="AG568" i="22"/>
  <c r="AF568" i="22"/>
  <c r="AE568" i="22"/>
  <c r="AD568" i="22"/>
  <c r="AC568" i="22"/>
  <c r="AB568" i="22"/>
  <c r="AA568" i="22"/>
  <c r="Z568" i="22"/>
  <c r="Y568" i="22"/>
  <c r="X568" i="22"/>
  <c r="W568" i="22"/>
  <c r="V568" i="22"/>
  <c r="U568" i="22"/>
  <c r="T568" i="22"/>
  <c r="S568" i="22"/>
  <c r="R568" i="22"/>
  <c r="Q568" i="22"/>
  <c r="P568" i="22"/>
  <c r="O568" i="22"/>
  <c r="N568" i="22"/>
  <c r="M568" i="22"/>
  <c r="L568" i="22"/>
  <c r="K568" i="22"/>
  <c r="J568" i="22"/>
  <c r="I568" i="22"/>
  <c r="H568" i="22"/>
  <c r="G568" i="22"/>
  <c r="F568" i="22"/>
  <c r="E568" i="22"/>
  <c r="D568" i="22"/>
  <c r="C568" i="22"/>
  <c r="B568" i="22"/>
  <c r="A568" i="22"/>
  <c r="I651" i="22" s="1"/>
  <c r="CB567" i="22"/>
  <c r="CA567" i="22"/>
  <c r="BZ567" i="22"/>
  <c r="BY567" i="22"/>
  <c r="BX567" i="22"/>
  <c r="BW567" i="22"/>
  <c r="BV567" i="22"/>
  <c r="BU567" i="22"/>
  <c r="BT567" i="22"/>
  <c r="BS567" i="22"/>
  <c r="BR567" i="22"/>
  <c r="BQ567" i="22"/>
  <c r="BP567" i="22"/>
  <c r="BO567" i="22"/>
  <c r="BN567" i="22"/>
  <c r="BM567" i="22"/>
  <c r="BL567" i="22"/>
  <c r="BK567" i="22"/>
  <c r="BJ567" i="22"/>
  <c r="BI567" i="22"/>
  <c r="BH567" i="22"/>
  <c r="BG567" i="22"/>
  <c r="BF567" i="22"/>
  <c r="BE567" i="22"/>
  <c r="BD567" i="22"/>
  <c r="BC567" i="22"/>
  <c r="BB567" i="22"/>
  <c r="BA567" i="22"/>
  <c r="AZ567" i="22"/>
  <c r="AY567" i="22"/>
  <c r="AX567" i="22"/>
  <c r="AW567" i="22"/>
  <c r="AV567" i="22"/>
  <c r="AU567" i="22"/>
  <c r="AT567" i="22"/>
  <c r="AS567" i="22"/>
  <c r="AR567" i="22"/>
  <c r="AQ567" i="22"/>
  <c r="AP567" i="22"/>
  <c r="AO567" i="22"/>
  <c r="AN567" i="22"/>
  <c r="AM567" i="22"/>
  <c r="AL567" i="22"/>
  <c r="AK567" i="22"/>
  <c r="AJ567" i="22"/>
  <c r="AI567" i="22"/>
  <c r="AH567" i="22"/>
  <c r="AG567" i="22"/>
  <c r="AF567" i="22"/>
  <c r="AE567" i="22"/>
  <c r="AD567" i="22"/>
  <c r="AC567" i="22"/>
  <c r="AB567" i="22"/>
  <c r="AA567" i="22"/>
  <c r="Z567" i="22"/>
  <c r="Y567" i="22"/>
  <c r="X567" i="22"/>
  <c r="W567" i="22"/>
  <c r="V567" i="22"/>
  <c r="U567" i="22"/>
  <c r="T567" i="22"/>
  <c r="S567" i="22"/>
  <c r="R567" i="22"/>
  <c r="Q567" i="22"/>
  <c r="P567" i="22"/>
  <c r="O567" i="22"/>
  <c r="N567" i="22"/>
  <c r="M567" i="22"/>
  <c r="L567" i="22"/>
  <c r="K567" i="22"/>
  <c r="J567" i="22"/>
  <c r="I567" i="22"/>
  <c r="H567" i="22"/>
  <c r="G567" i="22"/>
  <c r="F567" i="22"/>
  <c r="E567" i="22"/>
  <c r="D567" i="22"/>
  <c r="C567" i="22"/>
  <c r="B567" i="22"/>
  <c r="A567" i="22"/>
  <c r="I650" i="22" s="1"/>
  <c r="CB566" i="22"/>
  <c r="CA566" i="22"/>
  <c r="BZ566" i="22"/>
  <c r="BY566" i="22"/>
  <c r="BX566" i="22"/>
  <c r="BW566" i="22"/>
  <c r="BV566" i="22"/>
  <c r="BU566" i="22"/>
  <c r="BT566" i="22"/>
  <c r="BS566" i="22"/>
  <c r="BR566" i="22"/>
  <c r="BQ566" i="22"/>
  <c r="BP566" i="22"/>
  <c r="BO566" i="22"/>
  <c r="BN566" i="22"/>
  <c r="BM566" i="22"/>
  <c r="BL566" i="22"/>
  <c r="BK566" i="22"/>
  <c r="BJ566" i="22"/>
  <c r="BI566" i="22"/>
  <c r="BH566" i="22"/>
  <c r="BG566" i="22"/>
  <c r="BF566" i="22"/>
  <c r="BE566" i="22"/>
  <c r="BD566" i="22"/>
  <c r="BC566" i="22"/>
  <c r="BB566" i="22"/>
  <c r="BA566" i="22"/>
  <c r="AZ566" i="22"/>
  <c r="AY566" i="22"/>
  <c r="AX566" i="22"/>
  <c r="AW566" i="22"/>
  <c r="AV566" i="22"/>
  <c r="AU566" i="22"/>
  <c r="AT566" i="22"/>
  <c r="AS566" i="22"/>
  <c r="AR566" i="22"/>
  <c r="AQ566" i="22"/>
  <c r="AP566" i="22"/>
  <c r="AO566" i="22"/>
  <c r="AN566" i="22"/>
  <c r="AM566" i="22"/>
  <c r="AL566" i="22"/>
  <c r="AK566" i="22"/>
  <c r="AJ566" i="22"/>
  <c r="AI566" i="22"/>
  <c r="AH566" i="22"/>
  <c r="AG566" i="22"/>
  <c r="AF566" i="22"/>
  <c r="AE566" i="22"/>
  <c r="AD566" i="22"/>
  <c r="AC566" i="22"/>
  <c r="AB566" i="22"/>
  <c r="AA566" i="22"/>
  <c r="Z566" i="22"/>
  <c r="Y566" i="22"/>
  <c r="X566" i="22"/>
  <c r="W566" i="22"/>
  <c r="V566" i="22"/>
  <c r="U566" i="22"/>
  <c r="T566" i="22"/>
  <c r="S566" i="22"/>
  <c r="R566" i="22"/>
  <c r="Q566" i="22"/>
  <c r="P566" i="22"/>
  <c r="O566" i="22"/>
  <c r="N566" i="22"/>
  <c r="M566" i="22"/>
  <c r="L566" i="22"/>
  <c r="K566" i="22"/>
  <c r="J566" i="22"/>
  <c r="I566" i="22"/>
  <c r="H566" i="22"/>
  <c r="G566" i="22"/>
  <c r="F566" i="22"/>
  <c r="E566" i="22"/>
  <c r="D566" i="22"/>
  <c r="C566" i="22"/>
  <c r="B566" i="22"/>
  <c r="A566" i="22"/>
  <c r="I649" i="22" s="1"/>
  <c r="CB565" i="22"/>
  <c r="CA565" i="22"/>
  <c r="BZ565" i="22"/>
  <c r="BY565" i="22"/>
  <c r="BX565" i="22"/>
  <c r="BW565" i="22"/>
  <c r="BV565" i="22"/>
  <c r="BU565" i="22"/>
  <c r="BT565" i="22"/>
  <c r="BS565" i="22"/>
  <c r="BR565" i="22"/>
  <c r="BQ565" i="22"/>
  <c r="BP565" i="22"/>
  <c r="BO565" i="22"/>
  <c r="BN565" i="22"/>
  <c r="BM565" i="22"/>
  <c r="BL565" i="22"/>
  <c r="BK565" i="22"/>
  <c r="BJ565" i="22"/>
  <c r="BI565" i="22"/>
  <c r="BH565" i="22"/>
  <c r="BG565" i="22"/>
  <c r="BF565" i="22"/>
  <c r="BE565" i="22"/>
  <c r="BD565" i="22"/>
  <c r="BC565" i="22"/>
  <c r="BB565" i="22"/>
  <c r="BA565" i="22"/>
  <c r="AZ565" i="22"/>
  <c r="AY565" i="22"/>
  <c r="AX565" i="22"/>
  <c r="AW565" i="22"/>
  <c r="AV565" i="22"/>
  <c r="AU565" i="22"/>
  <c r="AT565" i="22"/>
  <c r="AS565" i="22"/>
  <c r="AR565" i="22"/>
  <c r="AQ565" i="22"/>
  <c r="AP565" i="22"/>
  <c r="AO565" i="22"/>
  <c r="AN565" i="22"/>
  <c r="AM565" i="22"/>
  <c r="AL565" i="22"/>
  <c r="AK565" i="22"/>
  <c r="AJ565" i="22"/>
  <c r="AI565" i="22"/>
  <c r="AH565" i="22"/>
  <c r="AG565" i="22"/>
  <c r="AF565" i="22"/>
  <c r="AE565" i="22"/>
  <c r="AD565" i="22"/>
  <c r="AC565" i="22"/>
  <c r="AB565" i="22"/>
  <c r="AA565" i="22"/>
  <c r="Z565" i="22"/>
  <c r="Y565" i="22"/>
  <c r="X565" i="22"/>
  <c r="W565" i="22"/>
  <c r="V565" i="22"/>
  <c r="U565" i="22"/>
  <c r="T565" i="22"/>
  <c r="S565" i="22"/>
  <c r="R565" i="22"/>
  <c r="Q565" i="22"/>
  <c r="P565" i="22"/>
  <c r="O565" i="22"/>
  <c r="N565" i="22"/>
  <c r="M565" i="22"/>
  <c r="L565" i="22"/>
  <c r="K565" i="22"/>
  <c r="J565" i="22"/>
  <c r="I565" i="22"/>
  <c r="H565" i="22"/>
  <c r="G565" i="22"/>
  <c r="F565" i="22"/>
  <c r="E565" i="22"/>
  <c r="D565" i="22"/>
  <c r="C565" i="22"/>
  <c r="B565" i="22"/>
  <c r="A565" i="22"/>
  <c r="I648" i="22" s="1"/>
  <c r="CB564" i="22"/>
  <c r="CA564" i="22"/>
  <c r="BZ564" i="22"/>
  <c r="BY564" i="22"/>
  <c r="BX564" i="22"/>
  <c r="BW564" i="22"/>
  <c r="BV564" i="22"/>
  <c r="BU564" i="22"/>
  <c r="BT564" i="22"/>
  <c r="BS564" i="22"/>
  <c r="BR564" i="22"/>
  <c r="BQ564" i="22"/>
  <c r="BP564" i="22"/>
  <c r="BO564" i="22"/>
  <c r="BN564" i="22"/>
  <c r="BM564" i="22"/>
  <c r="BL564" i="22"/>
  <c r="BK564" i="22"/>
  <c r="BJ564" i="22"/>
  <c r="BI564" i="22"/>
  <c r="BH564" i="22"/>
  <c r="BG564" i="22"/>
  <c r="BF564" i="22"/>
  <c r="BE564" i="22"/>
  <c r="BD564" i="22"/>
  <c r="BC564" i="22"/>
  <c r="BB564" i="22"/>
  <c r="BA564" i="22"/>
  <c r="AZ564" i="22"/>
  <c r="AY564" i="22"/>
  <c r="AX564" i="22"/>
  <c r="AW564" i="22"/>
  <c r="AV564" i="22"/>
  <c r="AU564" i="22"/>
  <c r="AT564" i="22"/>
  <c r="AS564" i="22"/>
  <c r="AR564" i="22"/>
  <c r="AQ564" i="22"/>
  <c r="AP564" i="22"/>
  <c r="AO564" i="22"/>
  <c r="AN564" i="22"/>
  <c r="AM564" i="22"/>
  <c r="AL564" i="22"/>
  <c r="AK564" i="22"/>
  <c r="AJ564" i="22"/>
  <c r="AI564" i="22"/>
  <c r="AH564" i="22"/>
  <c r="AG564" i="22"/>
  <c r="AF564" i="22"/>
  <c r="AE564" i="22"/>
  <c r="AD564" i="22"/>
  <c r="AC564" i="22"/>
  <c r="AB564" i="22"/>
  <c r="AA564" i="22"/>
  <c r="Z564" i="22"/>
  <c r="Y564" i="22"/>
  <c r="X564" i="22"/>
  <c r="W564" i="22"/>
  <c r="V564" i="22"/>
  <c r="U564" i="22"/>
  <c r="T564" i="22"/>
  <c r="S564" i="22"/>
  <c r="R564" i="22"/>
  <c r="Q564" i="22"/>
  <c r="P564" i="22"/>
  <c r="O564" i="22"/>
  <c r="N564" i="22"/>
  <c r="M564" i="22"/>
  <c r="L564" i="22"/>
  <c r="K564" i="22"/>
  <c r="J564" i="22"/>
  <c r="I564" i="22"/>
  <c r="H564" i="22"/>
  <c r="G564" i="22"/>
  <c r="F564" i="22"/>
  <c r="E564" i="22"/>
  <c r="D564" i="22"/>
  <c r="C564" i="22"/>
  <c r="B564" i="22"/>
  <c r="A564" i="22"/>
  <c r="I647" i="22" s="1"/>
  <c r="CB563" i="22"/>
  <c r="CA563" i="22"/>
  <c r="BZ563" i="22"/>
  <c r="BY563" i="22"/>
  <c r="BX563" i="22"/>
  <c r="BW563" i="22"/>
  <c r="BV563" i="22"/>
  <c r="BU563" i="22"/>
  <c r="BT563" i="22"/>
  <c r="BS563" i="22"/>
  <c r="BR563" i="22"/>
  <c r="BQ563" i="22"/>
  <c r="BP563" i="22"/>
  <c r="BO563" i="22"/>
  <c r="BN563" i="22"/>
  <c r="BM563" i="22"/>
  <c r="BL563" i="22"/>
  <c r="BK563" i="22"/>
  <c r="BJ563" i="22"/>
  <c r="BI563" i="22"/>
  <c r="BH563" i="22"/>
  <c r="BG563" i="22"/>
  <c r="BF563" i="22"/>
  <c r="BE563" i="22"/>
  <c r="BD563" i="22"/>
  <c r="BC563" i="22"/>
  <c r="BB563" i="22"/>
  <c r="BA563" i="22"/>
  <c r="AZ563" i="22"/>
  <c r="AY563" i="22"/>
  <c r="AX563" i="22"/>
  <c r="AW563" i="22"/>
  <c r="AV563" i="22"/>
  <c r="AU563" i="22"/>
  <c r="AT563" i="22"/>
  <c r="AS563" i="22"/>
  <c r="AR563" i="22"/>
  <c r="AQ563" i="22"/>
  <c r="AP563" i="22"/>
  <c r="AO563" i="22"/>
  <c r="AN563" i="22"/>
  <c r="AM563" i="22"/>
  <c r="AL563" i="22"/>
  <c r="AK563" i="22"/>
  <c r="AJ563" i="22"/>
  <c r="AI563" i="22"/>
  <c r="AH563" i="22"/>
  <c r="AG563" i="22"/>
  <c r="AF563" i="22"/>
  <c r="AE563" i="22"/>
  <c r="AD563" i="22"/>
  <c r="AC563" i="22"/>
  <c r="AB563" i="22"/>
  <c r="AA563" i="22"/>
  <c r="Z563" i="22"/>
  <c r="Y563" i="22"/>
  <c r="X563" i="22"/>
  <c r="W563" i="22"/>
  <c r="V563" i="22"/>
  <c r="U563" i="22"/>
  <c r="T563" i="22"/>
  <c r="S563" i="22"/>
  <c r="R563" i="22"/>
  <c r="Q563" i="22"/>
  <c r="P563" i="22"/>
  <c r="O563" i="22"/>
  <c r="N563" i="22"/>
  <c r="M563" i="22"/>
  <c r="L563" i="22"/>
  <c r="K563" i="22"/>
  <c r="J563" i="22"/>
  <c r="I563" i="22"/>
  <c r="H563" i="22"/>
  <c r="G563" i="22"/>
  <c r="F563" i="22"/>
  <c r="E563" i="22"/>
  <c r="D563" i="22"/>
  <c r="C563" i="22"/>
  <c r="B563" i="22"/>
  <c r="A563" i="22"/>
  <c r="I646" i="22" s="1"/>
  <c r="CB562" i="22"/>
  <c r="CA562" i="22"/>
  <c r="BZ562" i="22"/>
  <c r="BY562" i="22"/>
  <c r="BX562" i="22"/>
  <c r="BW562" i="22"/>
  <c r="BV562" i="22"/>
  <c r="BU562" i="22"/>
  <c r="BT562" i="22"/>
  <c r="BS562" i="22"/>
  <c r="BR562" i="22"/>
  <c r="BQ562" i="22"/>
  <c r="BP562" i="22"/>
  <c r="BO562" i="22"/>
  <c r="BN562" i="22"/>
  <c r="BM562" i="22"/>
  <c r="BL562" i="22"/>
  <c r="BK562" i="22"/>
  <c r="BJ562" i="22"/>
  <c r="BI562" i="22"/>
  <c r="BH562" i="22"/>
  <c r="BG562" i="22"/>
  <c r="BF562" i="22"/>
  <c r="BE562" i="22"/>
  <c r="BD562" i="22"/>
  <c r="BC562" i="22"/>
  <c r="BB562" i="22"/>
  <c r="BA562" i="22"/>
  <c r="AZ562" i="22"/>
  <c r="AY562" i="22"/>
  <c r="AX562" i="22"/>
  <c r="AW562" i="22"/>
  <c r="AV562" i="22"/>
  <c r="AU562" i="22"/>
  <c r="AT562" i="22"/>
  <c r="AS562" i="22"/>
  <c r="AR562" i="22"/>
  <c r="AQ562" i="22"/>
  <c r="AP562" i="22"/>
  <c r="AO562" i="22"/>
  <c r="AN562" i="22"/>
  <c r="AM562" i="22"/>
  <c r="AL562" i="22"/>
  <c r="AK562" i="22"/>
  <c r="AJ562" i="22"/>
  <c r="AI562" i="22"/>
  <c r="AH562" i="22"/>
  <c r="AG562" i="22"/>
  <c r="AF562" i="22"/>
  <c r="AE562" i="22"/>
  <c r="AD562" i="22"/>
  <c r="AC562" i="22"/>
  <c r="AB562" i="22"/>
  <c r="AA562" i="22"/>
  <c r="Z562" i="22"/>
  <c r="Y562" i="22"/>
  <c r="X562" i="22"/>
  <c r="W562" i="22"/>
  <c r="V562" i="22"/>
  <c r="U562" i="22"/>
  <c r="T562" i="22"/>
  <c r="S562" i="22"/>
  <c r="R562" i="22"/>
  <c r="Q562" i="22"/>
  <c r="P562" i="22"/>
  <c r="O562" i="22"/>
  <c r="N562" i="22"/>
  <c r="M562" i="22"/>
  <c r="L562" i="22"/>
  <c r="K562" i="22"/>
  <c r="J562" i="22"/>
  <c r="I562" i="22"/>
  <c r="H562" i="22"/>
  <c r="G562" i="22"/>
  <c r="F562" i="22"/>
  <c r="E562" i="22"/>
  <c r="D562" i="22"/>
  <c r="C562" i="22"/>
  <c r="B562" i="22"/>
  <c r="A562" i="22"/>
  <c r="I645" i="22" s="1"/>
  <c r="CB561" i="22"/>
  <c r="CA561" i="22"/>
  <c r="BZ561" i="22"/>
  <c r="BY561" i="22"/>
  <c r="BX561" i="22"/>
  <c r="BW561" i="22"/>
  <c r="BV561" i="22"/>
  <c r="BU561" i="22"/>
  <c r="BT561" i="22"/>
  <c r="BS561" i="22"/>
  <c r="BR561" i="22"/>
  <c r="BQ561" i="22"/>
  <c r="BP561" i="22"/>
  <c r="BO561" i="22"/>
  <c r="BN561" i="22"/>
  <c r="BM561" i="22"/>
  <c r="BL561" i="22"/>
  <c r="BK561" i="22"/>
  <c r="BJ561" i="22"/>
  <c r="BI561" i="22"/>
  <c r="BH561" i="22"/>
  <c r="BG561" i="22"/>
  <c r="BF561" i="22"/>
  <c r="BE561" i="22"/>
  <c r="BD561" i="22"/>
  <c r="BC561" i="22"/>
  <c r="BB561" i="22"/>
  <c r="BA561" i="22"/>
  <c r="AZ561" i="22"/>
  <c r="AY561" i="22"/>
  <c r="AX561" i="22"/>
  <c r="AW561" i="22"/>
  <c r="AV561" i="22"/>
  <c r="AU561" i="22"/>
  <c r="AT561" i="22"/>
  <c r="AS561" i="22"/>
  <c r="AR561" i="22"/>
  <c r="AQ561" i="22"/>
  <c r="AP561" i="22"/>
  <c r="AO561" i="22"/>
  <c r="AN561" i="22"/>
  <c r="AM561" i="22"/>
  <c r="AL561" i="22"/>
  <c r="AK561" i="22"/>
  <c r="AJ561" i="22"/>
  <c r="AI561" i="22"/>
  <c r="AH561" i="22"/>
  <c r="AG561" i="22"/>
  <c r="AF561" i="22"/>
  <c r="AE561" i="22"/>
  <c r="AD561" i="22"/>
  <c r="AC561" i="22"/>
  <c r="AB561" i="22"/>
  <c r="AA561" i="22"/>
  <c r="Z561" i="22"/>
  <c r="Y561" i="22"/>
  <c r="X561" i="22"/>
  <c r="W561" i="22"/>
  <c r="V561" i="22"/>
  <c r="U561" i="22"/>
  <c r="T561" i="22"/>
  <c r="S561" i="22"/>
  <c r="R561" i="22"/>
  <c r="Q561" i="22"/>
  <c r="P561" i="22"/>
  <c r="O561" i="22"/>
  <c r="N561" i="22"/>
  <c r="M561" i="22"/>
  <c r="L561" i="22"/>
  <c r="K561" i="22"/>
  <c r="J561" i="22"/>
  <c r="I561" i="22"/>
  <c r="H561" i="22"/>
  <c r="G561" i="22"/>
  <c r="F561" i="22"/>
  <c r="E561" i="22"/>
  <c r="D561" i="22"/>
  <c r="C561" i="22"/>
  <c r="B561" i="22"/>
  <c r="A561" i="22"/>
  <c r="I644" i="22" s="1"/>
  <c r="CB560" i="22"/>
  <c r="CA560" i="22"/>
  <c r="BZ560" i="22"/>
  <c r="BY560" i="22"/>
  <c r="BX560" i="22"/>
  <c r="BW560" i="22"/>
  <c r="BV560" i="22"/>
  <c r="BU560" i="22"/>
  <c r="BT560" i="22"/>
  <c r="BS560" i="22"/>
  <c r="BR560" i="22"/>
  <c r="BQ560" i="22"/>
  <c r="BP560" i="22"/>
  <c r="BO560" i="22"/>
  <c r="BN560" i="22"/>
  <c r="BM560" i="22"/>
  <c r="BL560" i="22"/>
  <c r="BK560" i="22"/>
  <c r="BJ560" i="22"/>
  <c r="BI560" i="22"/>
  <c r="BH560" i="22"/>
  <c r="BG560" i="22"/>
  <c r="BF560" i="22"/>
  <c r="BE560" i="22"/>
  <c r="BD560" i="22"/>
  <c r="BC560" i="22"/>
  <c r="BB560" i="22"/>
  <c r="BA560" i="22"/>
  <c r="AZ560" i="22"/>
  <c r="AY560" i="22"/>
  <c r="AX560" i="22"/>
  <c r="AW560" i="22"/>
  <c r="AV560" i="22"/>
  <c r="AU560" i="22"/>
  <c r="AT560" i="22"/>
  <c r="AS560" i="22"/>
  <c r="AR560" i="22"/>
  <c r="AQ560" i="22"/>
  <c r="AP560" i="22"/>
  <c r="AO560" i="22"/>
  <c r="AN560" i="22"/>
  <c r="AM560" i="22"/>
  <c r="AL560" i="22"/>
  <c r="AK560" i="22"/>
  <c r="AJ560" i="22"/>
  <c r="AI560" i="22"/>
  <c r="AH560" i="22"/>
  <c r="AG560" i="22"/>
  <c r="AF560" i="22"/>
  <c r="AE560" i="22"/>
  <c r="AD560" i="22"/>
  <c r="AC560" i="22"/>
  <c r="AB560" i="22"/>
  <c r="AA560" i="22"/>
  <c r="Z560" i="22"/>
  <c r="Y560" i="22"/>
  <c r="X560" i="22"/>
  <c r="W560" i="22"/>
  <c r="V560" i="22"/>
  <c r="U560" i="22"/>
  <c r="T560" i="22"/>
  <c r="S560" i="22"/>
  <c r="R560" i="22"/>
  <c r="Q560" i="22"/>
  <c r="P560" i="22"/>
  <c r="O560" i="22"/>
  <c r="N560" i="22"/>
  <c r="M560" i="22"/>
  <c r="L560" i="22"/>
  <c r="K560" i="22"/>
  <c r="J560" i="22"/>
  <c r="I560" i="22"/>
  <c r="H560" i="22"/>
  <c r="G560" i="22"/>
  <c r="F560" i="22"/>
  <c r="E560" i="22"/>
  <c r="D560" i="22"/>
  <c r="C560" i="22"/>
  <c r="B560" i="22"/>
  <c r="A560" i="22"/>
  <c r="I643" i="22" s="1"/>
  <c r="CB559" i="22"/>
  <c r="CA559" i="22"/>
  <c r="BZ559" i="22"/>
  <c r="BY559" i="22"/>
  <c r="BX559" i="22"/>
  <c r="BW559" i="22"/>
  <c r="BV559" i="22"/>
  <c r="BU559" i="22"/>
  <c r="BT559" i="22"/>
  <c r="BS559" i="22"/>
  <c r="BR559" i="22"/>
  <c r="BQ559" i="22"/>
  <c r="BP559" i="22"/>
  <c r="BO559" i="22"/>
  <c r="BN559" i="22"/>
  <c r="BM559" i="22"/>
  <c r="BL559" i="22"/>
  <c r="BK559" i="22"/>
  <c r="BJ559" i="22"/>
  <c r="BI559" i="22"/>
  <c r="BH559" i="22"/>
  <c r="BG559" i="22"/>
  <c r="BF559" i="22"/>
  <c r="BE559" i="22"/>
  <c r="BD559" i="22"/>
  <c r="BC559" i="22"/>
  <c r="BB559" i="22"/>
  <c r="BA559" i="22"/>
  <c r="AZ559" i="22"/>
  <c r="AY559" i="22"/>
  <c r="AX559" i="22"/>
  <c r="AW559" i="22"/>
  <c r="AV559" i="22"/>
  <c r="AU559" i="22"/>
  <c r="AT559" i="22"/>
  <c r="AS559" i="22"/>
  <c r="AR559" i="22"/>
  <c r="AQ559" i="22"/>
  <c r="AP559" i="22"/>
  <c r="AO559" i="22"/>
  <c r="AN559" i="22"/>
  <c r="AM559" i="22"/>
  <c r="AL559" i="22"/>
  <c r="AK559" i="22"/>
  <c r="AJ559" i="22"/>
  <c r="AI559" i="22"/>
  <c r="AH559" i="22"/>
  <c r="AG559" i="22"/>
  <c r="AF559" i="22"/>
  <c r="AE559" i="22"/>
  <c r="AD559" i="22"/>
  <c r="AC559" i="22"/>
  <c r="AB559" i="22"/>
  <c r="AA559" i="22"/>
  <c r="Z559" i="22"/>
  <c r="Y559" i="22"/>
  <c r="X559" i="22"/>
  <c r="W559" i="22"/>
  <c r="V559" i="22"/>
  <c r="U559" i="22"/>
  <c r="T559" i="22"/>
  <c r="S559" i="22"/>
  <c r="R559" i="22"/>
  <c r="Q559" i="22"/>
  <c r="P559" i="22"/>
  <c r="O559" i="22"/>
  <c r="N559" i="22"/>
  <c r="M559" i="22"/>
  <c r="L559" i="22"/>
  <c r="K559" i="22"/>
  <c r="J559" i="22"/>
  <c r="I559" i="22"/>
  <c r="H559" i="22"/>
  <c r="G559" i="22"/>
  <c r="F559" i="22"/>
  <c r="E559" i="22"/>
  <c r="D559" i="22"/>
  <c r="C559" i="22"/>
  <c r="B559" i="22"/>
  <c r="A559" i="22"/>
  <c r="I642" i="22" s="1"/>
  <c r="CB558" i="22"/>
  <c r="CA558" i="22"/>
  <c r="BZ558" i="22"/>
  <c r="BY558" i="22"/>
  <c r="BX558" i="22"/>
  <c r="BW558" i="22"/>
  <c r="BV558" i="22"/>
  <c r="BU558" i="22"/>
  <c r="BT558" i="22"/>
  <c r="BS558" i="22"/>
  <c r="BR558" i="22"/>
  <c r="BQ558" i="22"/>
  <c r="BP558" i="22"/>
  <c r="BO558" i="22"/>
  <c r="BN558" i="22"/>
  <c r="BM558" i="22"/>
  <c r="BL558" i="22"/>
  <c r="BK558" i="22"/>
  <c r="BJ558" i="22"/>
  <c r="BI558" i="22"/>
  <c r="BH558" i="22"/>
  <c r="BG558" i="22"/>
  <c r="BF558" i="22"/>
  <c r="BE558" i="22"/>
  <c r="BD558" i="22"/>
  <c r="BC558" i="22"/>
  <c r="BB558" i="22"/>
  <c r="BA558" i="22"/>
  <c r="AZ558" i="22"/>
  <c r="AY558" i="22"/>
  <c r="AX558" i="22"/>
  <c r="AW558" i="22"/>
  <c r="AV558" i="22"/>
  <c r="AU558" i="22"/>
  <c r="AT558" i="22"/>
  <c r="AS558" i="22"/>
  <c r="AR558" i="22"/>
  <c r="AQ558" i="22"/>
  <c r="AP558" i="22"/>
  <c r="AO558" i="22"/>
  <c r="AN558" i="22"/>
  <c r="AM558" i="22"/>
  <c r="AL558" i="22"/>
  <c r="AK558" i="22"/>
  <c r="AJ558" i="22"/>
  <c r="AI558" i="22"/>
  <c r="AH558" i="22"/>
  <c r="AG558" i="22"/>
  <c r="AF558" i="22"/>
  <c r="AE558" i="22"/>
  <c r="AD558" i="22"/>
  <c r="AC558" i="22"/>
  <c r="AB558" i="22"/>
  <c r="AA558" i="22"/>
  <c r="Z558" i="22"/>
  <c r="Y558" i="22"/>
  <c r="X558" i="22"/>
  <c r="W558" i="22"/>
  <c r="V558" i="22"/>
  <c r="U558" i="22"/>
  <c r="T558" i="22"/>
  <c r="S558" i="22"/>
  <c r="R558" i="22"/>
  <c r="Q558" i="22"/>
  <c r="P558" i="22"/>
  <c r="O558" i="22"/>
  <c r="N558" i="22"/>
  <c r="M558" i="22"/>
  <c r="L558" i="22"/>
  <c r="K558" i="22"/>
  <c r="J558" i="22"/>
  <c r="I558" i="22"/>
  <c r="H558" i="22"/>
  <c r="G558" i="22"/>
  <c r="F558" i="22"/>
  <c r="E558" i="22"/>
  <c r="D558" i="22"/>
  <c r="C558" i="22"/>
  <c r="B558" i="22"/>
  <c r="A558" i="22"/>
  <c r="I641" i="22" s="1"/>
  <c r="CB557" i="22"/>
  <c r="CA557" i="22"/>
  <c r="BZ557" i="22"/>
  <c r="BY557" i="22"/>
  <c r="BX557" i="22"/>
  <c r="BW557" i="22"/>
  <c r="BV557" i="22"/>
  <c r="BU557" i="22"/>
  <c r="BT557" i="22"/>
  <c r="BS557" i="22"/>
  <c r="BR557" i="22"/>
  <c r="BQ557" i="22"/>
  <c r="BP557" i="22"/>
  <c r="BO557" i="22"/>
  <c r="BN557" i="22"/>
  <c r="BM557" i="22"/>
  <c r="BL557" i="22"/>
  <c r="BK557" i="22"/>
  <c r="BJ557" i="22"/>
  <c r="BI557" i="22"/>
  <c r="BH557" i="22"/>
  <c r="BG557" i="22"/>
  <c r="BF557" i="22"/>
  <c r="BE557" i="22"/>
  <c r="BD557" i="22"/>
  <c r="BC557" i="22"/>
  <c r="BB557" i="22"/>
  <c r="BA557" i="22"/>
  <c r="AZ557" i="22"/>
  <c r="AY557" i="22"/>
  <c r="AX557" i="22"/>
  <c r="AW557" i="22"/>
  <c r="AV557" i="22"/>
  <c r="AU557" i="22"/>
  <c r="AT557" i="22"/>
  <c r="AS557" i="22"/>
  <c r="AR557" i="22"/>
  <c r="AQ557" i="22"/>
  <c r="AP557" i="22"/>
  <c r="AO557" i="22"/>
  <c r="AN557" i="22"/>
  <c r="AM557" i="22"/>
  <c r="AL557" i="22"/>
  <c r="AK557" i="22"/>
  <c r="AJ557" i="22"/>
  <c r="AI557" i="22"/>
  <c r="AH557" i="22"/>
  <c r="AG557" i="22"/>
  <c r="AF557" i="22"/>
  <c r="AE557" i="22"/>
  <c r="AD557" i="22"/>
  <c r="AC557" i="22"/>
  <c r="AB557" i="22"/>
  <c r="AA557" i="22"/>
  <c r="Z557" i="22"/>
  <c r="Y557" i="22"/>
  <c r="X557" i="22"/>
  <c r="W557" i="22"/>
  <c r="V557" i="22"/>
  <c r="U557" i="22"/>
  <c r="T557" i="22"/>
  <c r="S557" i="22"/>
  <c r="R557" i="22"/>
  <c r="Q557" i="22"/>
  <c r="P557" i="22"/>
  <c r="O557" i="22"/>
  <c r="N557" i="22"/>
  <c r="M557" i="22"/>
  <c r="L557" i="22"/>
  <c r="K557" i="22"/>
  <c r="J557" i="22"/>
  <c r="I557" i="22"/>
  <c r="H557" i="22"/>
  <c r="G557" i="22"/>
  <c r="F557" i="22"/>
  <c r="E557" i="22"/>
  <c r="D557" i="22"/>
  <c r="C557" i="22"/>
  <c r="B557" i="22"/>
  <c r="A557" i="22"/>
  <c r="I640" i="22" s="1"/>
  <c r="CB556" i="22"/>
  <c r="CA556" i="22"/>
  <c r="BZ556" i="22"/>
  <c r="BY556" i="22"/>
  <c r="BX556" i="22"/>
  <c r="BW556" i="22"/>
  <c r="BV556" i="22"/>
  <c r="BU556" i="22"/>
  <c r="BT556" i="22"/>
  <c r="BS556" i="22"/>
  <c r="BR556" i="22"/>
  <c r="BQ556" i="22"/>
  <c r="BP556" i="22"/>
  <c r="BO556" i="22"/>
  <c r="BN556" i="22"/>
  <c r="BM556" i="22"/>
  <c r="BL556" i="22"/>
  <c r="BK556" i="22"/>
  <c r="BJ556" i="22"/>
  <c r="BI556" i="22"/>
  <c r="BH556" i="22"/>
  <c r="BG556" i="22"/>
  <c r="BF556" i="22"/>
  <c r="BE556" i="22"/>
  <c r="BD556" i="22"/>
  <c r="BC556" i="22"/>
  <c r="BB556" i="22"/>
  <c r="BA556" i="22"/>
  <c r="AZ556" i="22"/>
  <c r="AY556" i="22"/>
  <c r="AX556" i="22"/>
  <c r="AW556" i="22"/>
  <c r="AV556" i="22"/>
  <c r="AU556" i="22"/>
  <c r="AT556" i="22"/>
  <c r="AS556" i="22"/>
  <c r="AR556" i="22"/>
  <c r="AQ556" i="22"/>
  <c r="AP556" i="22"/>
  <c r="AO556" i="22"/>
  <c r="AN556" i="22"/>
  <c r="AM556" i="22"/>
  <c r="AL556" i="22"/>
  <c r="AK556" i="22"/>
  <c r="AJ556" i="22"/>
  <c r="AI556" i="22"/>
  <c r="AH556" i="22"/>
  <c r="AG556" i="22"/>
  <c r="AF556" i="22"/>
  <c r="AE556" i="22"/>
  <c r="AD556" i="22"/>
  <c r="AC556" i="22"/>
  <c r="AB556" i="22"/>
  <c r="AA556" i="22"/>
  <c r="Z556" i="22"/>
  <c r="Y556" i="22"/>
  <c r="X556" i="22"/>
  <c r="W556" i="22"/>
  <c r="V556" i="22"/>
  <c r="U556" i="22"/>
  <c r="T556" i="22"/>
  <c r="S556" i="22"/>
  <c r="R556" i="22"/>
  <c r="Q556" i="22"/>
  <c r="P556" i="22"/>
  <c r="O556" i="22"/>
  <c r="N556" i="22"/>
  <c r="M556" i="22"/>
  <c r="L556" i="22"/>
  <c r="K556" i="22"/>
  <c r="J556" i="22"/>
  <c r="I556" i="22"/>
  <c r="H556" i="22"/>
  <c r="G556" i="22"/>
  <c r="F556" i="22"/>
  <c r="E556" i="22"/>
  <c r="D556" i="22"/>
  <c r="C556" i="22"/>
  <c r="B556" i="22"/>
  <c r="A556" i="22"/>
  <c r="CB555" i="22"/>
  <c r="CA555" i="22"/>
  <c r="BZ555" i="22"/>
  <c r="BY555" i="22"/>
  <c r="BX555" i="22"/>
  <c r="BW555" i="22"/>
  <c r="BV555" i="22"/>
  <c r="BU555" i="22"/>
  <c r="BT555" i="22"/>
  <c r="BS555" i="22"/>
  <c r="BR555" i="22"/>
  <c r="BQ555" i="22"/>
  <c r="BP555" i="22"/>
  <c r="BO555" i="22"/>
  <c r="BN555" i="22"/>
  <c r="BM555" i="22"/>
  <c r="BL555" i="22"/>
  <c r="BK555" i="22"/>
  <c r="BJ555" i="22"/>
  <c r="BI555" i="22"/>
  <c r="BH555" i="22"/>
  <c r="BG555" i="22"/>
  <c r="BF555" i="22"/>
  <c r="BE555" i="22"/>
  <c r="BD555" i="22"/>
  <c r="BC555" i="22"/>
  <c r="BB555" i="22"/>
  <c r="BA555" i="22"/>
  <c r="AZ555" i="22"/>
  <c r="AY555" i="22"/>
  <c r="AX555" i="22"/>
  <c r="AW555" i="22"/>
  <c r="AV555" i="22"/>
  <c r="AU555" i="22"/>
  <c r="AT555" i="22"/>
  <c r="AS555" i="22"/>
  <c r="AR555" i="22"/>
  <c r="AQ555" i="22"/>
  <c r="AP555" i="22"/>
  <c r="AO555" i="22"/>
  <c r="AN555" i="22"/>
  <c r="AM555" i="22"/>
  <c r="AL555" i="22"/>
  <c r="AK555" i="22"/>
  <c r="AJ555" i="22"/>
  <c r="AI555" i="22"/>
  <c r="AH555" i="22"/>
  <c r="AG555" i="22"/>
  <c r="AF555" i="22"/>
  <c r="AE555" i="22"/>
  <c r="AD555" i="22"/>
  <c r="AC555" i="22"/>
  <c r="AB555" i="22"/>
  <c r="AA555" i="22"/>
  <c r="Z555" i="22"/>
  <c r="Y555" i="22"/>
  <c r="X555" i="22"/>
  <c r="W555" i="22"/>
  <c r="V555" i="22"/>
  <c r="U555" i="22"/>
  <c r="T555" i="22"/>
  <c r="S555" i="22"/>
  <c r="R555" i="22"/>
  <c r="Q555" i="22"/>
  <c r="P555" i="22"/>
  <c r="O555" i="22"/>
  <c r="N555" i="22"/>
  <c r="M555" i="22"/>
  <c r="L555" i="22"/>
  <c r="K555" i="22"/>
  <c r="J555" i="22"/>
  <c r="I555" i="22"/>
  <c r="H555" i="22"/>
  <c r="G555" i="22"/>
  <c r="F555" i="22"/>
  <c r="E555" i="22"/>
  <c r="D555" i="22"/>
  <c r="C555" i="22"/>
  <c r="B555" i="22"/>
  <c r="A555" i="22"/>
  <c r="I638" i="22" s="1"/>
  <c r="CB554" i="22"/>
  <c r="CA554" i="22"/>
  <c r="BZ554" i="22"/>
  <c r="BY554" i="22"/>
  <c r="BX554" i="22"/>
  <c r="BW554" i="22"/>
  <c r="BV554" i="22"/>
  <c r="BU554" i="22"/>
  <c r="BT554" i="22"/>
  <c r="BS554" i="22"/>
  <c r="BR554" i="22"/>
  <c r="BQ554" i="22"/>
  <c r="BP554" i="22"/>
  <c r="BO554" i="22"/>
  <c r="BN554" i="22"/>
  <c r="BM554" i="22"/>
  <c r="BL554" i="22"/>
  <c r="BK554" i="22"/>
  <c r="BJ554" i="22"/>
  <c r="BI554" i="22"/>
  <c r="BH554" i="22"/>
  <c r="BG554" i="22"/>
  <c r="BF554" i="22"/>
  <c r="BE554" i="22"/>
  <c r="BD554" i="22"/>
  <c r="BC554" i="22"/>
  <c r="BB554" i="22"/>
  <c r="BA554" i="22"/>
  <c r="AZ554" i="22"/>
  <c r="AY554" i="22"/>
  <c r="AX554" i="22"/>
  <c r="AW554" i="22"/>
  <c r="AV554" i="22"/>
  <c r="AU554" i="22"/>
  <c r="AT554" i="22"/>
  <c r="AS554" i="22"/>
  <c r="AR554" i="22"/>
  <c r="AQ554" i="22"/>
  <c r="AP554" i="22"/>
  <c r="AO554" i="22"/>
  <c r="AN554" i="22"/>
  <c r="AM554" i="22"/>
  <c r="AL554" i="22"/>
  <c r="AK554" i="22"/>
  <c r="AJ554" i="22"/>
  <c r="AI554" i="22"/>
  <c r="AH554" i="22"/>
  <c r="AG554" i="22"/>
  <c r="AF554" i="22"/>
  <c r="AE554" i="22"/>
  <c r="AD554" i="22"/>
  <c r="AC554" i="22"/>
  <c r="AB554" i="22"/>
  <c r="AA554" i="22"/>
  <c r="Z554" i="22"/>
  <c r="Y554" i="22"/>
  <c r="X554" i="22"/>
  <c r="W554" i="22"/>
  <c r="V554" i="22"/>
  <c r="U554" i="22"/>
  <c r="T554" i="22"/>
  <c r="S554" i="22"/>
  <c r="R554" i="22"/>
  <c r="Q554" i="22"/>
  <c r="P554" i="22"/>
  <c r="O554" i="22"/>
  <c r="N554" i="22"/>
  <c r="M554" i="22"/>
  <c r="L554" i="22"/>
  <c r="K554" i="22"/>
  <c r="J554" i="22"/>
  <c r="I554" i="22"/>
  <c r="H554" i="22"/>
  <c r="G554" i="22"/>
  <c r="F554" i="22"/>
  <c r="E554" i="22"/>
  <c r="D554" i="22"/>
  <c r="C554" i="22"/>
  <c r="B554" i="22"/>
  <c r="A554" i="22"/>
  <c r="I637" i="22" s="1"/>
  <c r="CB553" i="22"/>
  <c r="CA553" i="22"/>
  <c r="BZ553" i="22"/>
  <c r="BY553" i="22"/>
  <c r="BX553" i="22"/>
  <c r="BW553" i="22"/>
  <c r="BV553" i="22"/>
  <c r="BU553" i="22"/>
  <c r="BT553" i="22"/>
  <c r="BS553" i="22"/>
  <c r="BR553" i="22"/>
  <c r="BQ553" i="22"/>
  <c r="BP553" i="22"/>
  <c r="BO553" i="22"/>
  <c r="BN553" i="22"/>
  <c r="BM553" i="22"/>
  <c r="BL553" i="22"/>
  <c r="BK553" i="22"/>
  <c r="BJ553" i="22"/>
  <c r="BI553" i="22"/>
  <c r="BH553" i="22"/>
  <c r="BG553" i="22"/>
  <c r="BF553" i="22"/>
  <c r="BE553" i="22"/>
  <c r="BD553" i="22"/>
  <c r="BC553" i="22"/>
  <c r="BB553" i="22"/>
  <c r="BA553" i="22"/>
  <c r="AZ553" i="22"/>
  <c r="AY553" i="22"/>
  <c r="AX553" i="22"/>
  <c r="AW553" i="22"/>
  <c r="AV553" i="22"/>
  <c r="AU553" i="22"/>
  <c r="AT553" i="22"/>
  <c r="AS553" i="22"/>
  <c r="AR553" i="22"/>
  <c r="AQ553" i="22"/>
  <c r="AP553" i="22"/>
  <c r="AO553" i="22"/>
  <c r="AN553" i="22"/>
  <c r="AM553" i="22"/>
  <c r="AL553" i="22"/>
  <c r="AK553" i="22"/>
  <c r="AJ553" i="22"/>
  <c r="AI553" i="22"/>
  <c r="AH553" i="22"/>
  <c r="AG553" i="22"/>
  <c r="AF553" i="22"/>
  <c r="AE553" i="22"/>
  <c r="AD553" i="22"/>
  <c r="AC553" i="22"/>
  <c r="AB553" i="22"/>
  <c r="AA553" i="22"/>
  <c r="Z553" i="22"/>
  <c r="Y553" i="22"/>
  <c r="X553" i="22"/>
  <c r="W553" i="22"/>
  <c r="V553" i="22"/>
  <c r="U553" i="22"/>
  <c r="T553" i="22"/>
  <c r="S553" i="22"/>
  <c r="R553" i="22"/>
  <c r="Q553" i="22"/>
  <c r="P553" i="22"/>
  <c r="O553" i="22"/>
  <c r="N553" i="22"/>
  <c r="M553" i="22"/>
  <c r="L553" i="22"/>
  <c r="K553" i="22"/>
  <c r="J553" i="22"/>
  <c r="I553" i="22"/>
  <c r="H553" i="22"/>
  <c r="G553" i="22"/>
  <c r="F553" i="22"/>
  <c r="E553" i="22"/>
  <c r="D553" i="22"/>
  <c r="C553" i="22"/>
  <c r="B553" i="22"/>
  <c r="A553" i="22"/>
  <c r="I636" i="22" s="1"/>
  <c r="CB552" i="22"/>
  <c r="CA552" i="22"/>
  <c r="BZ552" i="22"/>
  <c r="BY552" i="22"/>
  <c r="BX552" i="22"/>
  <c r="BW552" i="22"/>
  <c r="BV552" i="22"/>
  <c r="BU552" i="22"/>
  <c r="BT552" i="22"/>
  <c r="BS552" i="22"/>
  <c r="BR552" i="22"/>
  <c r="BQ552" i="22"/>
  <c r="BP552" i="22"/>
  <c r="BO552" i="22"/>
  <c r="BN552" i="22"/>
  <c r="BM552" i="22"/>
  <c r="BL552" i="22"/>
  <c r="BK552" i="22"/>
  <c r="BJ552" i="22"/>
  <c r="BI552" i="22"/>
  <c r="BH552" i="22"/>
  <c r="BG552" i="22"/>
  <c r="BF552" i="22"/>
  <c r="BE552" i="22"/>
  <c r="BD552" i="22"/>
  <c r="BC552" i="22"/>
  <c r="BB552" i="22"/>
  <c r="BA552" i="22"/>
  <c r="AZ552" i="22"/>
  <c r="AY552" i="22"/>
  <c r="AX552" i="22"/>
  <c r="AW552" i="22"/>
  <c r="AV552" i="22"/>
  <c r="AU552" i="22"/>
  <c r="AT552" i="22"/>
  <c r="AS552" i="22"/>
  <c r="AR552" i="22"/>
  <c r="AQ552" i="22"/>
  <c r="AP552" i="22"/>
  <c r="AO552" i="22"/>
  <c r="AN552" i="22"/>
  <c r="AM552" i="22"/>
  <c r="AL552" i="22"/>
  <c r="AK552" i="22"/>
  <c r="AJ552" i="22"/>
  <c r="AI552" i="22"/>
  <c r="AH552" i="22"/>
  <c r="AG552" i="22"/>
  <c r="AF552" i="22"/>
  <c r="AE552" i="22"/>
  <c r="AD552" i="22"/>
  <c r="AC552" i="22"/>
  <c r="AB552" i="22"/>
  <c r="AA552" i="22"/>
  <c r="Z552" i="22"/>
  <c r="Y552" i="22"/>
  <c r="X552" i="22"/>
  <c r="W552" i="22"/>
  <c r="V552" i="22"/>
  <c r="U552" i="22"/>
  <c r="T552" i="22"/>
  <c r="S552" i="22"/>
  <c r="R552" i="22"/>
  <c r="Q552" i="22"/>
  <c r="P552" i="22"/>
  <c r="O552" i="22"/>
  <c r="N552" i="22"/>
  <c r="M552" i="22"/>
  <c r="L552" i="22"/>
  <c r="K552" i="22"/>
  <c r="J552" i="22"/>
  <c r="I552" i="22"/>
  <c r="H552" i="22"/>
  <c r="G552" i="22"/>
  <c r="F552" i="22"/>
  <c r="E552" i="22"/>
  <c r="D552" i="22"/>
  <c r="C552" i="22"/>
  <c r="B552" i="22"/>
  <c r="A552" i="22"/>
  <c r="I635" i="22" s="1"/>
  <c r="CB551" i="22"/>
  <c r="CA551" i="22"/>
  <c r="BZ551" i="22"/>
  <c r="BY551" i="22"/>
  <c r="BX551" i="22"/>
  <c r="BW551" i="22"/>
  <c r="BV551" i="22"/>
  <c r="BU551" i="22"/>
  <c r="BT551" i="22"/>
  <c r="BS551" i="22"/>
  <c r="BR551" i="22"/>
  <c r="BQ551" i="22"/>
  <c r="BP551" i="22"/>
  <c r="BO551" i="22"/>
  <c r="BN551" i="22"/>
  <c r="BM551" i="22"/>
  <c r="BL551" i="22"/>
  <c r="BK551" i="22"/>
  <c r="BJ551" i="22"/>
  <c r="BI551" i="22"/>
  <c r="BH551" i="22"/>
  <c r="BG551" i="22"/>
  <c r="BF551" i="22"/>
  <c r="BE551" i="22"/>
  <c r="BD551" i="22"/>
  <c r="BC551" i="22"/>
  <c r="BB551" i="22"/>
  <c r="BA551" i="22"/>
  <c r="AZ551" i="22"/>
  <c r="AY551" i="22"/>
  <c r="AX551" i="22"/>
  <c r="AW551" i="22"/>
  <c r="AV551" i="22"/>
  <c r="AU551" i="22"/>
  <c r="AT551" i="22"/>
  <c r="AS551" i="22"/>
  <c r="AR551" i="22"/>
  <c r="AQ551" i="22"/>
  <c r="AP551" i="22"/>
  <c r="AO551" i="22"/>
  <c r="AN551" i="22"/>
  <c r="AM551" i="22"/>
  <c r="AL551" i="22"/>
  <c r="AK551" i="22"/>
  <c r="AJ551" i="22"/>
  <c r="AI551" i="22"/>
  <c r="AH551" i="22"/>
  <c r="AG551" i="22"/>
  <c r="AF551" i="22"/>
  <c r="AE551" i="22"/>
  <c r="AD551" i="22"/>
  <c r="AC551" i="22"/>
  <c r="AB551" i="22"/>
  <c r="AA551" i="22"/>
  <c r="Z551" i="22"/>
  <c r="Y551" i="22"/>
  <c r="X551" i="22"/>
  <c r="W551" i="22"/>
  <c r="V551" i="22"/>
  <c r="U551" i="22"/>
  <c r="T551" i="22"/>
  <c r="S551" i="22"/>
  <c r="R551" i="22"/>
  <c r="Q551" i="22"/>
  <c r="P551" i="22"/>
  <c r="O551" i="22"/>
  <c r="N551" i="22"/>
  <c r="M551" i="22"/>
  <c r="L551" i="22"/>
  <c r="K551" i="22"/>
  <c r="J551" i="22"/>
  <c r="I551" i="22"/>
  <c r="H551" i="22"/>
  <c r="G551" i="22"/>
  <c r="F551" i="22"/>
  <c r="E551" i="22"/>
  <c r="D551" i="22"/>
  <c r="C551" i="22"/>
  <c r="B551" i="22"/>
  <c r="A551" i="22"/>
  <c r="I634" i="22" s="1"/>
  <c r="CB550" i="22"/>
  <c r="CA550" i="22"/>
  <c r="BZ550" i="22"/>
  <c r="BY550" i="22"/>
  <c r="BX550" i="22"/>
  <c r="BW550" i="22"/>
  <c r="BV550" i="22"/>
  <c r="BU550" i="22"/>
  <c r="BT550" i="22"/>
  <c r="BS550" i="22"/>
  <c r="BR550" i="22"/>
  <c r="BQ550" i="22"/>
  <c r="BP550" i="22"/>
  <c r="BO550" i="22"/>
  <c r="BN550" i="22"/>
  <c r="BM550" i="22"/>
  <c r="BL550" i="22"/>
  <c r="BK550" i="22"/>
  <c r="BJ550" i="22"/>
  <c r="BI550" i="22"/>
  <c r="BH550" i="22"/>
  <c r="BG550" i="22"/>
  <c r="BF550" i="22"/>
  <c r="BE550" i="22"/>
  <c r="BD550" i="22"/>
  <c r="BC550" i="22"/>
  <c r="BB550" i="22"/>
  <c r="BA550" i="22"/>
  <c r="AZ550" i="22"/>
  <c r="AY550" i="22"/>
  <c r="AX550" i="22"/>
  <c r="AW550" i="22"/>
  <c r="AV550" i="22"/>
  <c r="AU550" i="22"/>
  <c r="AT550" i="22"/>
  <c r="AS550" i="22"/>
  <c r="AR550" i="22"/>
  <c r="AQ550" i="22"/>
  <c r="AP550" i="22"/>
  <c r="AO550" i="22"/>
  <c r="AN550" i="22"/>
  <c r="AM550" i="22"/>
  <c r="AL550" i="22"/>
  <c r="AK550" i="22"/>
  <c r="AJ550" i="22"/>
  <c r="AI550" i="22"/>
  <c r="AH550" i="22"/>
  <c r="AG550" i="22"/>
  <c r="AF550" i="22"/>
  <c r="AE550" i="22"/>
  <c r="AD550" i="22"/>
  <c r="AC550" i="22"/>
  <c r="AB550" i="22"/>
  <c r="AA550" i="22"/>
  <c r="Z550" i="22"/>
  <c r="Y550" i="22"/>
  <c r="X550" i="22"/>
  <c r="W550" i="22"/>
  <c r="V550" i="22"/>
  <c r="U550" i="22"/>
  <c r="T550" i="22"/>
  <c r="S550" i="22"/>
  <c r="R550" i="22"/>
  <c r="Q550" i="22"/>
  <c r="P550" i="22"/>
  <c r="O550" i="22"/>
  <c r="N550" i="22"/>
  <c r="M550" i="22"/>
  <c r="L550" i="22"/>
  <c r="K550" i="22"/>
  <c r="J550" i="22"/>
  <c r="I550" i="22"/>
  <c r="H550" i="22"/>
  <c r="G550" i="22"/>
  <c r="F550" i="22"/>
  <c r="E550" i="22"/>
  <c r="D550" i="22"/>
  <c r="C550" i="22"/>
  <c r="B550" i="22"/>
  <c r="A550" i="22"/>
  <c r="I633" i="22" s="1"/>
  <c r="CB549" i="22"/>
  <c r="CA549" i="22"/>
  <c r="BZ549" i="22"/>
  <c r="BY549" i="22"/>
  <c r="BX549" i="22"/>
  <c r="BW549" i="22"/>
  <c r="BV549" i="22"/>
  <c r="BU549" i="22"/>
  <c r="BT549" i="22"/>
  <c r="BS549" i="22"/>
  <c r="BR549" i="22"/>
  <c r="BQ549" i="22"/>
  <c r="BP549" i="22"/>
  <c r="BO549" i="22"/>
  <c r="BN549" i="22"/>
  <c r="BM549" i="22"/>
  <c r="BL549" i="22"/>
  <c r="BK549" i="22"/>
  <c r="BJ549" i="22"/>
  <c r="BI549" i="22"/>
  <c r="BH549" i="22"/>
  <c r="BG549" i="22"/>
  <c r="BF549" i="22"/>
  <c r="BE549" i="22"/>
  <c r="BD549" i="22"/>
  <c r="BC549" i="22"/>
  <c r="BB549" i="22"/>
  <c r="BA549" i="22"/>
  <c r="AZ549" i="22"/>
  <c r="AY549" i="22"/>
  <c r="AX549" i="22"/>
  <c r="AW549" i="22"/>
  <c r="AV549" i="22"/>
  <c r="AU549" i="22"/>
  <c r="AT549" i="22"/>
  <c r="AS549" i="22"/>
  <c r="AR549" i="22"/>
  <c r="AQ549" i="22"/>
  <c r="AP549" i="22"/>
  <c r="AO549" i="22"/>
  <c r="AN549" i="22"/>
  <c r="AM549" i="22"/>
  <c r="AL549" i="22"/>
  <c r="AK549" i="22"/>
  <c r="AJ549" i="22"/>
  <c r="AI549" i="22"/>
  <c r="AH549" i="22"/>
  <c r="AG549" i="22"/>
  <c r="AF549" i="22"/>
  <c r="AE549" i="22"/>
  <c r="AD549" i="22"/>
  <c r="AC549" i="22"/>
  <c r="AB549" i="22"/>
  <c r="AA549" i="22"/>
  <c r="Z549" i="22"/>
  <c r="Y549" i="22"/>
  <c r="X549" i="22"/>
  <c r="W549" i="22"/>
  <c r="V549" i="22"/>
  <c r="U549" i="22"/>
  <c r="T549" i="22"/>
  <c r="S549" i="22"/>
  <c r="R549" i="22"/>
  <c r="Q549" i="22"/>
  <c r="P549" i="22"/>
  <c r="O549" i="22"/>
  <c r="N549" i="22"/>
  <c r="M549" i="22"/>
  <c r="L549" i="22"/>
  <c r="K549" i="22"/>
  <c r="J549" i="22"/>
  <c r="I549" i="22"/>
  <c r="H549" i="22"/>
  <c r="G549" i="22"/>
  <c r="F549" i="22"/>
  <c r="E549" i="22"/>
  <c r="D549" i="22"/>
  <c r="C549" i="22"/>
  <c r="B549" i="22"/>
  <c r="A549" i="22"/>
  <c r="I632" i="22" s="1"/>
  <c r="CB548" i="22"/>
  <c r="CA548" i="22"/>
  <c r="BZ548" i="22"/>
  <c r="BY548" i="22"/>
  <c r="BX548" i="22"/>
  <c r="BW548" i="22"/>
  <c r="BV548" i="22"/>
  <c r="BU548" i="22"/>
  <c r="BT548" i="22"/>
  <c r="BS548" i="22"/>
  <c r="BR548" i="22"/>
  <c r="BQ548" i="22"/>
  <c r="BP548" i="22"/>
  <c r="BO548" i="22"/>
  <c r="BN548" i="22"/>
  <c r="BM548" i="22"/>
  <c r="BL548" i="22"/>
  <c r="BK548" i="22"/>
  <c r="BJ548" i="22"/>
  <c r="BI548" i="22"/>
  <c r="BH548" i="22"/>
  <c r="BG548" i="22"/>
  <c r="BF548" i="22"/>
  <c r="BE548" i="22"/>
  <c r="BD548" i="22"/>
  <c r="BC548" i="22"/>
  <c r="BB548" i="22"/>
  <c r="BA548" i="22"/>
  <c r="AZ548" i="22"/>
  <c r="AY548" i="22"/>
  <c r="AX548" i="22"/>
  <c r="AW548" i="22"/>
  <c r="AV548" i="22"/>
  <c r="AU548" i="22"/>
  <c r="AT548" i="22"/>
  <c r="AS548" i="22"/>
  <c r="AR548" i="22"/>
  <c r="AQ548" i="22"/>
  <c r="AP548" i="22"/>
  <c r="AO548" i="22"/>
  <c r="AN548" i="22"/>
  <c r="AM548" i="22"/>
  <c r="AL548" i="22"/>
  <c r="AK548" i="22"/>
  <c r="AJ548" i="22"/>
  <c r="AI548" i="22"/>
  <c r="AH548" i="22"/>
  <c r="AG548" i="22"/>
  <c r="AF548" i="22"/>
  <c r="AE548" i="22"/>
  <c r="AD548" i="22"/>
  <c r="AC548" i="22"/>
  <c r="AB548" i="22"/>
  <c r="AA548" i="22"/>
  <c r="Z548" i="22"/>
  <c r="Y548" i="22"/>
  <c r="X548" i="22"/>
  <c r="W548" i="22"/>
  <c r="V548" i="22"/>
  <c r="U548" i="22"/>
  <c r="T548" i="22"/>
  <c r="S548" i="22"/>
  <c r="R548" i="22"/>
  <c r="Q548" i="22"/>
  <c r="P548" i="22"/>
  <c r="O548" i="22"/>
  <c r="N548" i="22"/>
  <c r="M548" i="22"/>
  <c r="L548" i="22"/>
  <c r="K548" i="22"/>
  <c r="J548" i="22"/>
  <c r="I548" i="22"/>
  <c r="H548" i="22"/>
  <c r="G548" i="22"/>
  <c r="F548" i="22"/>
  <c r="E548" i="22"/>
  <c r="D548" i="22"/>
  <c r="C548" i="22"/>
  <c r="B548" i="22"/>
  <c r="A548" i="22"/>
  <c r="I631" i="22" s="1"/>
  <c r="CB547" i="22"/>
  <c r="CA547" i="22"/>
  <c r="BZ547" i="22"/>
  <c r="BY547" i="22"/>
  <c r="BX547" i="22"/>
  <c r="BW547" i="22"/>
  <c r="BV547" i="22"/>
  <c r="BU547" i="22"/>
  <c r="BT547" i="22"/>
  <c r="BS547" i="22"/>
  <c r="BR547" i="22"/>
  <c r="BQ547" i="22"/>
  <c r="BP547" i="22"/>
  <c r="BO547" i="22"/>
  <c r="BN547" i="22"/>
  <c r="BM547" i="22"/>
  <c r="BL547" i="22"/>
  <c r="BK547" i="22"/>
  <c r="BJ547" i="22"/>
  <c r="BI547" i="22"/>
  <c r="BH547" i="22"/>
  <c r="BG547" i="22"/>
  <c r="BF547" i="22"/>
  <c r="BE547" i="22"/>
  <c r="BD547" i="22"/>
  <c r="BC547" i="22"/>
  <c r="BB547" i="22"/>
  <c r="BA547" i="22"/>
  <c r="AZ547" i="22"/>
  <c r="AY547" i="22"/>
  <c r="AX547" i="22"/>
  <c r="AW547" i="22"/>
  <c r="AV547" i="22"/>
  <c r="AU547" i="22"/>
  <c r="AT547" i="22"/>
  <c r="AS547" i="22"/>
  <c r="AR547" i="22"/>
  <c r="AQ547" i="22"/>
  <c r="AP547" i="22"/>
  <c r="AO547" i="22"/>
  <c r="AN547" i="22"/>
  <c r="AM547" i="22"/>
  <c r="AL547" i="22"/>
  <c r="AK547" i="22"/>
  <c r="AJ547" i="22"/>
  <c r="AI547" i="22"/>
  <c r="AH547" i="22"/>
  <c r="AG547" i="22"/>
  <c r="AF547" i="22"/>
  <c r="AE547" i="22"/>
  <c r="AD547" i="22"/>
  <c r="AC547" i="22"/>
  <c r="AB547" i="22"/>
  <c r="AA547" i="22"/>
  <c r="Z547" i="22"/>
  <c r="Y547" i="22"/>
  <c r="X547" i="22"/>
  <c r="W547" i="22"/>
  <c r="V547" i="22"/>
  <c r="U547" i="22"/>
  <c r="T547" i="22"/>
  <c r="S547" i="22"/>
  <c r="R547" i="22"/>
  <c r="Q547" i="22"/>
  <c r="P547" i="22"/>
  <c r="O547" i="22"/>
  <c r="N547" i="22"/>
  <c r="M547" i="22"/>
  <c r="L547" i="22"/>
  <c r="K547" i="22"/>
  <c r="J547" i="22"/>
  <c r="I547" i="22"/>
  <c r="H547" i="22"/>
  <c r="G547" i="22"/>
  <c r="F547" i="22"/>
  <c r="E547" i="22"/>
  <c r="D547" i="22"/>
  <c r="C547" i="22"/>
  <c r="B547" i="22"/>
  <c r="A547" i="22"/>
  <c r="I630" i="22" s="1"/>
  <c r="CB546" i="22"/>
  <c r="CA546" i="22"/>
  <c r="BZ546" i="22"/>
  <c r="BY546" i="22"/>
  <c r="BX546" i="22"/>
  <c r="BW546" i="22"/>
  <c r="BV546" i="22"/>
  <c r="BU546" i="22"/>
  <c r="BT546" i="22"/>
  <c r="BS546" i="22"/>
  <c r="BR546" i="22"/>
  <c r="BQ546" i="22"/>
  <c r="BP546" i="22"/>
  <c r="BO546" i="22"/>
  <c r="BN546" i="22"/>
  <c r="BM546" i="22"/>
  <c r="BL546" i="22"/>
  <c r="BK546" i="22"/>
  <c r="BJ546" i="22"/>
  <c r="BI546" i="22"/>
  <c r="BH546" i="22"/>
  <c r="BG546" i="22"/>
  <c r="BF546" i="22"/>
  <c r="BE546" i="22"/>
  <c r="BD546" i="22"/>
  <c r="BC546" i="22"/>
  <c r="BB546" i="22"/>
  <c r="BA546" i="22"/>
  <c r="AZ546" i="22"/>
  <c r="AY546" i="22"/>
  <c r="AX546" i="22"/>
  <c r="AW546" i="22"/>
  <c r="AV546" i="22"/>
  <c r="AU546" i="22"/>
  <c r="AT546" i="22"/>
  <c r="AS546" i="22"/>
  <c r="AR546" i="22"/>
  <c r="AQ546" i="22"/>
  <c r="AP546" i="22"/>
  <c r="AO546" i="22"/>
  <c r="AN546" i="22"/>
  <c r="AM546" i="22"/>
  <c r="AL546" i="22"/>
  <c r="AK546" i="22"/>
  <c r="AJ546" i="22"/>
  <c r="AI546" i="22"/>
  <c r="AH546" i="22"/>
  <c r="AG546" i="22"/>
  <c r="AF546" i="22"/>
  <c r="AE546" i="22"/>
  <c r="AD546" i="22"/>
  <c r="AC546" i="22"/>
  <c r="AB546" i="22"/>
  <c r="AA546" i="22"/>
  <c r="Z546" i="22"/>
  <c r="Y546" i="22"/>
  <c r="X546" i="22"/>
  <c r="W546" i="22"/>
  <c r="V546" i="22"/>
  <c r="U546" i="22"/>
  <c r="T546" i="22"/>
  <c r="S546" i="22"/>
  <c r="R546" i="22"/>
  <c r="Q546" i="22"/>
  <c r="P546" i="22"/>
  <c r="O546" i="22"/>
  <c r="N546" i="22"/>
  <c r="M546" i="22"/>
  <c r="L546" i="22"/>
  <c r="K546" i="22"/>
  <c r="J546" i="22"/>
  <c r="I546" i="22"/>
  <c r="H546" i="22"/>
  <c r="G546" i="22"/>
  <c r="F546" i="22"/>
  <c r="E546" i="22"/>
  <c r="D546" i="22"/>
  <c r="C546" i="22"/>
  <c r="B546" i="22"/>
  <c r="A546" i="22"/>
  <c r="I629" i="22" s="1"/>
  <c r="CB545" i="22"/>
  <c r="CA545" i="22"/>
  <c r="BZ545" i="22"/>
  <c r="BY545" i="22"/>
  <c r="BX545" i="22"/>
  <c r="BW545" i="22"/>
  <c r="BV545" i="22"/>
  <c r="BU545" i="22"/>
  <c r="BT545" i="22"/>
  <c r="BS545" i="22"/>
  <c r="BR545" i="22"/>
  <c r="BQ545" i="22"/>
  <c r="BP545" i="22"/>
  <c r="BO545" i="22"/>
  <c r="BN545" i="22"/>
  <c r="BM545" i="22"/>
  <c r="BL545" i="22"/>
  <c r="BK545" i="22"/>
  <c r="BJ545" i="22"/>
  <c r="BI545" i="22"/>
  <c r="BH545" i="22"/>
  <c r="BG545" i="22"/>
  <c r="BF545" i="22"/>
  <c r="BE545" i="22"/>
  <c r="BD545" i="22"/>
  <c r="BC545" i="22"/>
  <c r="BB545" i="22"/>
  <c r="BA545" i="22"/>
  <c r="AZ545" i="22"/>
  <c r="AY545" i="22"/>
  <c r="AX545" i="22"/>
  <c r="AW545" i="22"/>
  <c r="AV545" i="22"/>
  <c r="AU545" i="22"/>
  <c r="AT545" i="22"/>
  <c r="AS545" i="22"/>
  <c r="AR545" i="22"/>
  <c r="AQ545" i="22"/>
  <c r="AP545" i="22"/>
  <c r="AO545" i="22"/>
  <c r="AN545" i="22"/>
  <c r="AM545" i="22"/>
  <c r="AL545" i="22"/>
  <c r="AK545" i="22"/>
  <c r="AJ545" i="22"/>
  <c r="AI545" i="22"/>
  <c r="AH545" i="22"/>
  <c r="AG545" i="22"/>
  <c r="AF545" i="22"/>
  <c r="AE545" i="22"/>
  <c r="AD545" i="22"/>
  <c r="AC545" i="22"/>
  <c r="AB545" i="22"/>
  <c r="AA545" i="22"/>
  <c r="Z545" i="22"/>
  <c r="Y545" i="22"/>
  <c r="X545" i="22"/>
  <c r="W545" i="22"/>
  <c r="V545" i="22"/>
  <c r="U545" i="22"/>
  <c r="T545" i="22"/>
  <c r="S545" i="22"/>
  <c r="R545" i="22"/>
  <c r="Q545" i="22"/>
  <c r="P545" i="22"/>
  <c r="O545" i="22"/>
  <c r="N545" i="22"/>
  <c r="M545" i="22"/>
  <c r="L545" i="22"/>
  <c r="K545" i="22"/>
  <c r="J545" i="22"/>
  <c r="I545" i="22"/>
  <c r="H545" i="22"/>
  <c r="G545" i="22"/>
  <c r="F545" i="22"/>
  <c r="E545" i="22"/>
  <c r="D545" i="22"/>
  <c r="C545" i="22"/>
  <c r="B545" i="22"/>
  <c r="A545" i="22"/>
  <c r="I628" i="22" s="1"/>
  <c r="CB544" i="22"/>
  <c r="CA544" i="22"/>
  <c r="BZ544" i="22"/>
  <c r="BY544" i="22"/>
  <c r="BX544" i="22"/>
  <c r="BW544" i="22"/>
  <c r="BV544" i="22"/>
  <c r="BU544" i="22"/>
  <c r="BT544" i="22"/>
  <c r="BS544" i="22"/>
  <c r="BR544" i="22"/>
  <c r="BQ544" i="22"/>
  <c r="BP544" i="22"/>
  <c r="BO544" i="22"/>
  <c r="BN544" i="22"/>
  <c r="BM544" i="22"/>
  <c r="BL544" i="22"/>
  <c r="BK544" i="22"/>
  <c r="BJ544" i="22"/>
  <c r="BI544" i="22"/>
  <c r="BH544" i="22"/>
  <c r="BG544" i="22"/>
  <c r="BF544" i="22"/>
  <c r="BE544" i="22"/>
  <c r="BD544" i="22"/>
  <c r="BC544" i="22"/>
  <c r="BB544" i="22"/>
  <c r="BA544" i="22"/>
  <c r="AZ544" i="22"/>
  <c r="AY544" i="22"/>
  <c r="AX544" i="22"/>
  <c r="AW544" i="22"/>
  <c r="AV544" i="22"/>
  <c r="AU544" i="22"/>
  <c r="AT544" i="22"/>
  <c r="AS544" i="22"/>
  <c r="AR544" i="22"/>
  <c r="AQ544" i="22"/>
  <c r="AP544" i="22"/>
  <c r="AO544" i="22"/>
  <c r="AN544" i="22"/>
  <c r="AM544" i="22"/>
  <c r="AL544" i="22"/>
  <c r="AK544" i="22"/>
  <c r="AJ544" i="22"/>
  <c r="AI544" i="22"/>
  <c r="AH544" i="22"/>
  <c r="AG544" i="22"/>
  <c r="AF544" i="22"/>
  <c r="AE544" i="22"/>
  <c r="AD544" i="22"/>
  <c r="AC544" i="22"/>
  <c r="AB544" i="22"/>
  <c r="AA544" i="22"/>
  <c r="Z544" i="22"/>
  <c r="Y544" i="22"/>
  <c r="X544" i="22"/>
  <c r="W544" i="22"/>
  <c r="V544" i="22"/>
  <c r="U544" i="22"/>
  <c r="T544" i="22"/>
  <c r="S544" i="22"/>
  <c r="R544" i="22"/>
  <c r="Q544" i="22"/>
  <c r="P544" i="22"/>
  <c r="O544" i="22"/>
  <c r="N544" i="22"/>
  <c r="M544" i="22"/>
  <c r="L544" i="22"/>
  <c r="K544" i="22"/>
  <c r="J544" i="22"/>
  <c r="I544" i="22"/>
  <c r="H544" i="22"/>
  <c r="G544" i="22"/>
  <c r="F544" i="22"/>
  <c r="E544" i="22"/>
  <c r="D544" i="22"/>
  <c r="C544" i="22"/>
  <c r="B544" i="22"/>
  <c r="A544" i="22"/>
  <c r="I627" i="22" s="1"/>
  <c r="CB543" i="22"/>
  <c r="CA543" i="22"/>
  <c r="BZ543" i="22"/>
  <c r="BY543" i="22"/>
  <c r="BX543" i="22"/>
  <c r="BW543" i="22"/>
  <c r="BV543" i="22"/>
  <c r="BU543" i="22"/>
  <c r="BT543" i="22"/>
  <c r="BS543" i="22"/>
  <c r="BR543" i="22"/>
  <c r="BQ543" i="22"/>
  <c r="BP543" i="22"/>
  <c r="BO543" i="22"/>
  <c r="BN543" i="22"/>
  <c r="BM543" i="22"/>
  <c r="BL543" i="22"/>
  <c r="BK543" i="22"/>
  <c r="BJ543" i="22"/>
  <c r="BI543" i="22"/>
  <c r="BH543" i="22"/>
  <c r="BG543" i="22"/>
  <c r="BF543" i="22"/>
  <c r="BE543" i="22"/>
  <c r="BD543" i="22"/>
  <c r="BC543" i="22"/>
  <c r="BB543" i="22"/>
  <c r="BA543" i="22"/>
  <c r="AZ543" i="22"/>
  <c r="AY543" i="22"/>
  <c r="AX543" i="22"/>
  <c r="AW543" i="22"/>
  <c r="AV543" i="22"/>
  <c r="AU543" i="22"/>
  <c r="AT543" i="22"/>
  <c r="AS543" i="22"/>
  <c r="AR543" i="22"/>
  <c r="AQ543" i="22"/>
  <c r="AP543" i="22"/>
  <c r="AO543" i="22"/>
  <c r="AN543" i="22"/>
  <c r="AM543" i="22"/>
  <c r="AL543" i="22"/>
  <c r="AK543" i="22"/>
  <c r="AJ543" i="22"/>
  <c r="AI543" i="22"/>
  <c r="AH543" i="22"/>
  <c r="AG543" i="22"/>
  <c r="AF543" i="22"/>
  <c r="AE543" i="22"/>
  <c r="AD543" i="22"/>
  <c r="AC543" i="22"/>
  <c r="AB543" i="22"/>
  <c r="AA543" i="22"/>
  <c r="Z543" i="22"/>
  <c r="Y543" i="22"/>
  <c r="X543" i="22"/>
  <c r="W543" i="22"/>
  <c r="V543" i="22"/>
  <c r="U543" i="22"/>
  <c r="T543" i="22"/>
  <c r="S543" i="22"/>
  <c r="R543" i="22"/>
  <c r="Q543" i="22"/>
  <c r="P543" i="22"/>
  <c r="O543" i="22"/>
  <c r="N543" i="22"/>
  <c r="M543" i="22"/>
  <c r="L543" i="22"/>
  <c r="K543" i="22"/>
  <c r="J543" i="22"/>
  <c r="I543" i="22"/>
  <c r="H543" i="22"/>
  <c r="G543" i="22"/>
  <c r="F543" i="22"/>
  <c r="E543" i="22"/>
  <c r="D543" i="22"/>
  <c r="C543" i="22"/>
  <c r="B543" i="22"/>
  <c r="A543" i="22"/>
  <c r="I626" i="22" s="1"/>
  <c r="CB542" i="22"/>
  <c r="CA542" i="22"/>
  <c r="BZ542" i="22"/>
  <c r="BY542" i="22"/>
  <c r="BX542" i="22"/>
  <c r="BW542" i="22"/>
  <c r="BV542" i="22"/>
  <c r="BU542" i="22"/>
  <c r="BT542" i="22"/>
  <c r="BS542" i="22"/>
  <c r="BR542" i="22"/>
  <c r="BQ542" i="22"/>
  <c r="BP542" i="22"/>
  <c r="BO542" i="22"/>
  <c r="BN542" i="22"/>
  <c r="BM542" i="22"/>
  <c r="BL542" i="22"/>
  <c r="BK542" i="22"/>
  <c r="BJ542" i="22"/>
  <c r="BI542" i="22"/>
  <c r="BH542" i="22"/>
  <c r="BG542" i="22"/>
  <c r="BF542" i="22"/>
  <c r="BE542" i="22"/>
  <c r="BD542" i="22"/>
  <c r="BC542" i="22"/>
  <c r="BB542" i="22"/>
  <c r="BA542" i="22"/>
  <c r="AZ542" i="22"/>
  <c r="AY542" i="22"/>
  <c r="AX542" i="22"/>
  <c r="AW542" i="22"/>
  <c r="AV542" i="22"/>
  <c r="AU542" i="22"/>
  <c r="AT542" i="22"/>
  <c r="AS542" i="22"/>
  <c r="AR542" i="22"/>
  <c r="AQ542" i="22"/>
  <c r="AP542" i="22"/>
  <c r="AO542" i="22"/>
  <c r="AN542" i="22"/>
  <c r="AM542" i="22"/>
  <c r="AL542" i="22"/>
  <c r="AK542" i="22"/>
  <c r="AJ542" i="22"/>
  <c r="AI542" i="22"/>
  <c r="AH542" i="22"/>
  <c r="AG542" i="22"/>
  <c r="AF542" i="22"/>
  <c r="AE542" i="22"/>
  <c r="AD542" i="22"/>
  <c r="AC542" i="22"/>
  <c r="AB542" i="22"/>
  <c r="AA542" i="22"/>
  <c r="Z542" i="22"/>
  <c r="Y542" i="22"/>
  <c r="X542" i="22"/>
  <c r="W542" i="22"/>
  <c r="V542" i="22"/>
  <c r="U542" i="22"/>
  <c r="T542" i="22"/>
  <c r="S542" i="22"/>
  <c r="R542" i="22"/>
  <c r="Q542" i="22"/>
  <c r="P542" i="22"/>
  <c r="O542" i="22"/>
  <c r="N542" i="22"/>
  <c r="M542" i="22"/>
  <c r="L542" i="22"/>
  <c r="K542" i="22"/>
  <c r="J542" i="22"/>
  <c r="I542" i="22"/>
  <c r="H542" i="22"/>
  <c r="G542" i="22"/>
  <c r="F542" i="22"/>
  <c r="E542" i="22"/>
  <c r="D542" i="22"/>
  <c r="C542" i="22"/>
  <c r="B542" i="22"/>
  <c r="A542" i="22"/>
  <c r="I625" i="22" s="1"/>
  <c r="CB541" i="22"/>
  <c r="CA541" i="22"/>
  <c r="BZ541" i="22"/>
  <c r="BY541" i="22"/>
  <c r="BX541" i="22"/>
  <c r="BW541" i="22"/>
  <c r="BV541" i="22"/>
  <c r="BU541" i="22"/>
  <c r="BT541" i="22"/>
  <c r="BS541" i="22"/>
  <c r="BR541" i="22"/>
  <c r="BQ541" i="22"/>
  <c r="BP541" i="22"/>
  <c r="BO541" i="22"/>
  <c r="BN541" i="22"/>
  <c r="BM541" i="22"/>
  <c r="BL541" i="22"/>
  <c r="BK541" i="22"/>
  <c r="BJ541" i="22"/>
  <c r="BI541" i="22"/>
  <c r="BH541" i="22"/>
  <c r="BG541" i="22"/>
  <c r="BF541" i="22"/>
  <c r="BE541" i="22"/>
  <c r="BD541" i="22"/>
  <c r="BC541" i="22"/>
  <c r="BB541" i="22"/>
  <c r="BA541" i="22"/>
  <c r="AZ541" i="22"/>
  <c r="AY541" i="22"/>
  <c r="AX541" i="22"/>
  <c r="AW541" i="22"/>
  <c r="AV541" i="22"/>
  <c r="AU541" i="22"/>
  <c r="AT541" i="22"/>
  <c r="AS541" i="22"/>
  <c r="AR541" i="22"/>
  <c r="AQ541" i="22"/>
  <c r="AP541" i="22"/>
  <c r="AO541" i="22"/>
  <c r="AN541" i="22"/>
  <c r="AM541" i="22"/>
  <c r="AL541" i="22"/>
  <c r="AK541" i="22"/>
  <c r="AJ541" i="22"/>
  <c r="AI541" i="22"/>
  <c r="AH541" i="22"/>
  <c r="AG541" i="22"/>
  <c r="AF541" i="22"/>
  <c r="AE541" i="22"/>
  <c r="AD541" i="22"/>
  <c r="AC541" i="22"/>
  <c r="AB541" i="22"/>
  <c r="AA541" i="22"/>
  <c r="Z541" i="22"/>
  <c r="Y541" i="22"/>
  <c r="X541" i="22"/>
  <c r="W541" i="22"/>
  <c r="V541" i="22"/>
  <c r="U541" i="22"/>
  <c r="T541" i="22"/>
  <c r="S541" i="22"/>
  <c r="R541" i="22"/>
  <c r="Q541" i="22"/>
  <c r="P541" i="22"/>
  <c r="O541" i="22"/>
  <c r="N541" i="22"/>
  <c r="M541" i="22"/>
  <c r="L541" i="22"/>
  <c r="K541" i="22"/>
  <c r="J541" i="22"/>
  <c r="I541" i="22"/>
  <c r="H541" i="22"/>
  <c r="G541" i="22"/>
  <c r="F541" i="22"/>
  <c r="E541" i="22"/>
  <c r="D541" i="22"/>
  <c r="C541" i="22"/>
  <c r="B541" i="22"/>
  <c r="A541" i="22"/>
  <c r="I624" i="22" s="1"/>
  <c r="CB540" i="22"/>
  <c r="CA540" i="22"/>
  <c r="BZ540" i="22"/>
  <c r="BY540" i="22"/>
  <c r="BX540" i="22"/>
  <c r="BW540" i="22"/>
  <c r="BV540" i="22"/>
  <c r="BU540" i="22"/>
  <c r="BT540" i="22"/>
  <c r="BS540" i="22"/>
  <c r="BR540" i="22"/>
  <c r="BQ540" i="22"/>
  <c r="BP540" i="22"/>
  <c r="BO540" i="22"/>
  <c r="BN540" i="22"/>
  <c r="BM540" i="22"/>
  <c r="BL540" i="22"/>
  <c r="BK540" i="22"/>
  <c r="BJ540" i="22"/>
  <c r="BI540" i="22"/>
  <c r="BH540" i="22"/>
  <c r="BG540" i="22"/>
  <c r="BF540" i="22"/>
  <c r="BE540" i="22"/>
  <c r="BD540" i="22"/>
  <c r="BC540" i="22"/>
  <c r="BB540" i="22"/>
  <c r="BA540" i="22"/>
  <c r="AZ540" i="22"/>
  <c r="AY540" i="22"/>
  <c r="AX540" i="22"/>
  <c r="AW540" i="22"/>
  <c r="AV540" i="22"/>
  <c r="AU540" i="22"/>
  <c r="AT540" i="22"/>
  <c r="AS540" i="22"/>
  <c r="AR540" i="22"/>
  <c r="AQ540" i="22"/>
  <c r="AP540" i="22"/>
  <c r="AO540" i="22"/>
  <c r="AN540" i="22"/>
  <c r="AM540" i="22"/>
  <c r="AL540" i="22"/>
  <c r="AK540" i="22"/>
  <c r="AJ540" i="22"/>
  <c r="AI540" i="22"/>
  <c r="AH540" i="22"/>
  <c r="AG540" i="22"/>
  <c r="AF540" i="22"/>
  <c r="AE540" i="22"/>
  <c r="AD540" i="22"/>
  <c r="AC540" i="22"/>
  <c r="AB540" i="22"/>
  <c r="AA540" i="22"/>
  <c r="Z540" i="22"/>
  <c r="Y540" i="22"/>
  <c r="X540" i="22"/>
  <c r="W540" i="22"/>
  <c r="V540" i="22"/>
  <c r="U540" i="22"/>
  <c r="T540" i="22"/>
  <c r="S540" i="22"/>
  <c r="R540" i="22"/>
  <c r="Q540" i="22"/>
  <c r="P540" i="22"/>
  <c r="O540" i="22"/>
  <c r="N540" i="22"/>
  <c r="M540" i="22"/>
  <c r="L540" i="22"/>
  <c r="K540" i="22"/>
  <c r="J540" i="22"/>
  <c r="I540" i="22"/>
  <c r="H540" i="22"/>
  <c r="G540" i="22"/>
  <c r="F540" i="22"/>
  <c r="E540" i="22"/>
  <c r="D540" i="22"/>
  <c r="C540" i="22"/>
  <c r="B540" i="22"/>
  <c r="A540" i="22"/>
  <c r="I623" i="22" s="1"/>
  <c r="CB539" i="22"/>
  <c r="CA539" i="22"/>
  <c r="BZ539" i="22"/>
  <c r="BY539" i="22"/>
  <c r="BX539" i="22"/>
  <c r="BW539" i="22"/>
  <c r="BV539" i="22"/>
  <c r="BU539" i="22"/>
  <c r="BT539" i="22"/>
  <c r="BS539" i="22"/>
  <c r="BR539" i="22"/>
  <c r="BQ539" i="22"/>
  <c r="BP539" i="22"/>
  <c r="BO539" i="22"/>
  <c r="BN539" i="22"/>
  <c r="BM539" i="22"/>
  <c r="BL539" i="22"/>
  <c r="BK539" i="22"/>
  <c r="BJ539" i="22"/>
  <c r="BI539" i="22"/>
  <c r="BH539" i="22"/>
  <c r="BG539" i="22"/>
  <c r="BF539" i="22"/>
  <c r="BE539" i="22"/>
  <c r="BD539" i="22"/>
  <c r="BC539" i="22"/>
  <c r="BB539" i="22"/>
  <c r="BA539" i="22"/>
  <c r="AZ539" i="22"/>
  <c r="AY539" i="22"/>
  <c r="AX539" i="22"/>
  <c r="AW539" i="22"/>
  <c r="AV539" i="22"/>
  <c r="AU539" i="22"/>
  <c r="AT539" i="22"/>
  <c r="AS539" i="22"/>
  <c r="AR539" i="22"/>
  <c r="AQ539" i="22"/>
  <c r="AP539" i="22"/>
  <c r="AO539" i="22"/>
  <c r="AN539" i="22"/>
  <c r="AM539" i="22"/>
  <c r="AL539" i="22"/>
  <c r="AK539" i="22"/>
  <c r="AJ539" i="22"/>
  <c r="AI539" i="22"/>
  <c r="AH539" i="22"/>
  <c r="AG539" i="22"/>
  <c r="AF539" i="22"/>
  <c r="AE539" i="22"/>
  <c r="AD539" i="22"/>
  <c r="AC539" i="22"/>
  <c r="AB539" i="22"/>
  <c r="AA539" i="22"/>
  <c r="Z539" i="22"/>
  <c r="Y539" i="22"/>
  <c r="X539" i="22"/>
  <c r="W539" i="22"/>
  <c r="V539" i="22"/>
  <c r="U539" i="22"/>
  <c r="T539" i="22"/>
  <c r="S539" i="22"/>
  <c r="R539" i="22"/>
  <c r="Q539" i="22"/>
  <c r="P539" i="22"/>
  <c r="O539" i="22"/>
  <c r="N539" i="22"/>
  <c r="M539" i="22"/>
  <c r="L539" i="22"/>
  <c r="K539" i="22"/>
  <c r="J539" i="22"/>
  <c r="I539" i="22"/>
  <c r="H539" i="22"/>
  <c r="G539" i="22"/>
  <c r="F539" i="22"/>
  <c r="E539" i="22"/>
  <c r="D539" i="22"/>
  <c r="C539" i="22"/>
  <c r="B539" i="22"/>
  <c r="A539" i="22"/>
  <c r="I622" i="22" s="1"/>
  <c r="CB538" i="22"/>
  <c r="CA538" i="22"/>
  <c r="BZ538" i="22"/>
  <c r="BY538" i="22"/>
  <c r="BX538" i="22"/>
  <c r="BW538" i="22"/>
  <c r="BV538" i="22"/>
  <c r="BU538" i="22"/>
  <c r="BT538" i="22"/>
  <c r="BS538" i="22"/>
  <c r="BR538" i="22"/>
  <c r="BQ538" i="22"/>
  <c r="BP538" i="22"/>
  <c r="BO538" i="22"/>
  <c r="BN538" i="22"/>
  <c r="BM538" i="22"/>
  <c r="BL538" i="22"/>
  <c r="BK538" i="22"/>
  <c r="BJ538" i="22"/>
  <c r="BI538" i="22"/>
  <c r="BH538" i="22"/>
  <c r="BG538" i="22"/>
  <c r="BF538" i="22"/>
  <c r="BE538" i="22"/>
  <c r="BD538" i="22"/>
  <c r="BC538" i="22"/>
  <c r="BB538" i="22"/>
  <c r="BA538" i="22"/>
  <c r="AZ538" i="22"/>
  <c r="AY538" i="22"/>
  <c r="AX538" i="22"/>
  <c r="AW538" i="22"/>
  <c r="AV538" i="22"/>
  <c r="AU538" i="22"/>
  <c r="AT538" i="22"/>
  <c r="AS538" i="22"/>
  <c r="AR538" i="22"/>
  <c r="AQ538" i="22"/>
  <c r="AP538" i="22"/>
  <c r="AO538" i="22"/>
  <c r="AN538" i="22"/>
  <c r="AM538" i="22"/>
  <c r="AL538" i="22"/>
  <c r="AK538" i="22"/>
  <c r="AJ538" i="22"/>
  <c r="AI538" i="22"/>
  <c r="AH538" i="22"/>
  <c r="AG538" i="22"/>
  <c r="AF538" i="22"/>
  <c r="AE538" i="22"/>
  <c r="AD538" i="22"/>
  <c r="AC538" i="22"/>
  <c r="AB538" i="22"/>
  <c r="AA538" i="22"/>
  <c r="Z538" i="22"/>
  <c r="Y538" i="22"/>
  <c r="X538" i="22"/>
  <c r="W538" i="22"/>
  <c r="V538" i="22"/>
  <c r="U538" i="22"/>
  <c r="T538" i="22"/>
  <c r="S538" i="22"/>
  <c r="R538" i="22"/>
  <c r="Q538" i="22"/>
  <c r="P538" i="22"/>
  <c r="O538" i="22"/>
  <c r="N538" i="22"/>
  <c r="M538" i="22"/>
  <c r="L538" i="22"/>
  <c r="K538" i="22"/>
  <c r="J538" i="22"/>
  <c r="I538" i="22"/>
  <c r="H538" i="22"/>
  <c r="G538" i="22"/>
  <c r="F538" i="22"/>
  <c r="E538" i="22"/>
  <c r="D538" i="22"/>
  <c r="C538" i="22"/>
  <c r="B538" i="22"/>
  <c r="A538" i="22"/>
  <c r="I621" i="22" s="1"/>
  <c r="CB537" i="22"/>
  <c r="CA537" i="22"/>
  <c r="BZ537" i="22"/>
  <c r="BY537" i="22"/>
  <c r="BX537" i="22"/>
  <c r="BW537" i="22"/>
  <c r="BV537" i="22"/>
  <c r="BU537" i="22"/>
  <c r="BT537" i="22"/>
  <c r="BS537" i="22"/>
  <c r="BR537" i="22"/>
  <c r="BQ537" i="22"/>
  <c r="BP537" i="22"/>
  <c r="BO537" i="22"/>
  <c r="BN537" i="22"/>
  <c r="BM537" i="22"/>
  <c r="BL537" i="22"/>
  <c r="BK537" i="22"/>
  <c r="BJ537" i="22"/>
  <c r="BI537" i="22"/>
  <c r="BH537" i="22"/>
  <c r="BG537" i="22"/>
  <c r="BF537" i="22"/>
  <c r="BE537" i="22"/>
  <c r="BD537" i="22"/>
  <c r="BC537" i="22"/>
  <c r="BB537" i="22"/>
  <c r="BA537" i="22"/>
  <c r="AZ537" i="22"/>
  <c r="AY537" i="22"/>
  <c r="AX537" i="22"/>
  <c r="AW537" i="22"/>
  <c r="AV537" i="22"/>
  <c r="AU537" i="22"/>
  <c r="AT537" i="22"/>
  <c r="AS537" i="22"/>
  <c r="AR537" i="22"/>
  <c r="AQ537" i="22"/>
  <c r="AP537" i="22"/>
  <c r="AO537" i="22"/>
  <c r="AN537" i="22"/>
  <c r="AM537" i="22"/>
  <c r="AL537" i="22"/>
  <c r="AK537" i="22"/>
  <c r="AJ537" i="22"/>
  <c r="AI537" i="22"/>
  <c r="AH537" i="22"/>
  <c r="AG537" i="22"/>
  <c r="AF537" i="22"/>
  <c r="AE537" i="22"/>
  <c r="AD537" i="22"/>
  <c r="AC537" i="22"/>
  <c r="AB537" i="22"/>
  <c r="AA537" i="22"/>
  <c r="Z537" i="22"/>
  <c r="Y537" i="22"/>
  <c r="X537" i="22"/>
  <c r="W537" i="22"/>
  <c r="V537" i="22"/>
  <c r="U537" i="22"/>
  <c r="T537" i="22"/>
  <c r="S537" i="22"/>
  <c r="R537" i="22"/>
  <c r="Q537" i="22"/>
  <c r="P537" i="22"/>
  <c r="O537" i="22"/>
  <c r="N537" i="22"/>
  <c r="M537" i="22"/>
  <c r="L537" i="22"/>
  <c r="K537" i="22"/>
  <c r="J537" i="22"/>
  <c r="I537" i="22"/>
  <c r="H537" i="22"/>
  <c r="G537" i="22"/>
  <c r="F537" i="22"/>
  <c r="E537" i="22"/>
  <c r="D537" i="22"/>
  <c r="C537" i="22"/>
  <c r="B537" i="22"/>
  <c r="A537" i="22"/>
  <c r="I620" i="22" s="1"/>
  <c r="CB536" i="22"/>
  <c r="CA536" i="22"/>
  <c r="BZ536" i="22"/>
  <c r="BY536" i="22"/>
  <c r="BX536" i="22"/>
  <c r="BW536" i="22"/>
  <c r="BV536" i="22"/>
  <c r="BU536" i="22"/>
  <c r="BT536" i="22"/>
  <c r="BS536" i="22"/>
  <c r="BR536" i="22"/>
  <c r="BQ536" i="22"/>
  <c r="BP536" i="22"/>
  <c r="BO536" i="22"/>
  <c r="BN536" i="22"/>
  <c r="BM536" i="22"/>
  <c r="BL536" i="22"/>
  <c r="BK536" i="22"/>
  <c r="BJ536" i="22"/>
  <c r="BI536" i="22"/>
  <c r="BH536" i="22"/>
  <c r="BG536" i="22"/>
  <c r="BF536" i="22"/>
  <c r="BE536" i="22"/>
  <c r="BD536" i="22"/>
  <c r="BC536" i="22"/>
  <c r="BB536" i="22"/>
  <c r="BA536" i="22"/>
  <c r="AZ536" i="22"/>
  <c r="AY536" i="22"/>
  <c r="AX536" i="22"/>
  <c r="AW536" i="22"/>
  <c r="AV536" i="22"/>
  <c r="AU536" i="22"/>
  <c r="AT536" i="22"/>
  <c r="AS536" i="22"/>
  <c r="AR536" i="22"/>
  <c r="AQ536" i="22"/>
  <c r="AP536" i="22"/>
  <c r="AO536" i="22"/>
  <c r="AN536" i="22"/>
  <c r="AM536" i="22"/>
  <c r="AL536" i="22"/>
  <c r="AK536" i="22"/>
  <c r="AJ536" i="22"/>
  <c r="AI536" i="22"/>
  <c r="AH536" i="22"/>
  <c r="AG536" i="22"/>
  <c r="AF536" i="22"/>
  <c r="AE536" i="22"/>
  <c r="AD536" i="22"/>
  <c r="AC536" i="22"/>
  <c r="AB536" i="22"/>
  <c r="AA536" i="22"/>
  <c r="Z536" i="22"/>
  <c r="Y536" i="22"/>
  <c r="X536" i="22"/>
  <c r="W536" i="22"/>
  <c r="V536" i="22"/>
  <c r="U536" i="22"/>
  <c r="T536" i="22"/>
  <c r="S536" i="22"/>
  <c r="R536" i="22"/>
  <c r="Q536" i="22"/>
  <c r="P536" i="22"/>
  <c r="O536" i="22"/>
  <c r="N536" i="22"/>
  <c r="M536" i="22"/>
  <c r="L536" i="22"/>
  <c r="K536" i="22"/>
  <c r="J536" i="22"/>
  <c r="I536" i="22"/>
  <c r="H536" i="22"/>
  <c r="G536" i="22"/>
  <c r="F536" i="22"/>
  <c r="E536" i="22"/>
  <c r="D536" i="22"/>
  <c r="C536" i="22"/>
  <c r="B536" i="22"/>
  <c r="A536" i="22"/>
  <c r="I619" i="22" s="1"/>
  <c r="CB535" i="22"/>
  <c r="CA535" i="22"/>
  <c r="BZ535" i="22"/>
  <c r="BY535" i="22"/>
  <c r="BX535" i="22"/>
  <c r="BW535" i="22"/>
  <c r="BV535" i="22"/>
  <c r="BU535" i="22"/>
  <c r="BT535" i="22"/>
  <c r="BS535" i="22"/>
  <c r="BR535" i="22"/>
  <c r="BQ535" i="22"/>
  <c r="BP535" i="22"/>
  <c r="BO535" i="22"/>
  <c r="BN535" i="22"/>
  <c r="BM535" i="22"/>
  <c r="BL535" i="22"/>
  <c r="BK535" i="22"/>
  <c r="BJ535" i="22"/>
  <c r="BI535" i="22"/>
  <c r="BH535" i="22"/>
  <c r="BG535" i="22"/>
  <c r="BF535" i="22"/>
  <c r="BE535" i="22"/>
  <c r="BD535" i="22"/>
  <c r="BC535" i="22"/>
  <c r="BB535" i="22"/>
  <c r="BA535" i="22"/>
  <c r="AZ535" i="22"/>
  <c r="AY535" i="22"/>
  <c r="AX535" i="22"/>
  <c r="AW535" i="22"/>
  <c r="AV535" i="22"/>
  <c r="AU535" i="22"/>
  <c r="AT535" i="22"/>
  <c r="AS535" i="22"/>
  <c r="AR535" i="22"/>
  <c r="AQ535" i="22"/>
  <c r="AP535" i="22"/>
  <c r="AO535" i="22"/>
  <c r="AN535" i="22"/>
  <c r="AM535" i="22"/>
  <c r="AL535" i="22"/>
  <c r="AK535" i="22"/>
  <c r="AJ535" i="22"/>
  <c r="AI535" i="22"/>
  <c r="AH535" i="22"/>
  <c r="AG535" i="22"/>
  <c r="AF535" i="22"/>
  <c r="AE535" i="22"/>
  <c r="AD535" i="22"/>
  <c r="AC535" i="22"/>
  <c r="AB535" i="22"/>
  <c r="AA535" i="22"/>
  <c r="Z535" i="22"/>
  <c r="Y535" i="22"/>
  <c r="X535" i="22"/>
  <c r="W535" i="22"/>
  <c r="V535" i="22"/>
  <c r="U535" i="22"/>
  <c r="T535" i="22"/>
  <c r="S535" i="22"/>
  <c r="R535" i="22"/>
  <c r="Q535" i="22"/>
  <c r="P535" i="22"/>
  <c r="O535" i="22"/>
  <c r="N535" i="22"/>
  <c r="M535" i="22"/>
  <c r="L535" i="22"/>
  <c r="K535" i="22"/>
  <c r="J535" i="22"/>
  <c r="I535" i="22"/>
  <c r="H535" i="22"/>
  <c r="G535" i="22"/>
  <c r="F535" i="22"/>
  <c r="E535" i="22"/>
  <c r="D535" i="22"/>
  <c r="C535" i="22"/>
  <c r="B535" i="22"/>
  <c r="A535" i="22"/>
  <c r="I618" i="22" s="1"/>
  <c r="CB534" i="22"/>
  <c r="CA534" i="22"/>
  <c r="BZ534" i="22"/>
  <c r="BY534" i="22"/>
  <c r="BX534" i="22"/>
  <c r="BW534" i="22"/>
  <c r="BV534" i="22"/>
  <c r="BU534" i="22"/>
  <c r="BT534" i="22"/>
  <c r="BS534" i="22"/>
  <c r="BR534" i="22"/>
  <c r="BQ534" i="22"/>
  <c r="BP534" i="22"/>
  <c r="BO534" i="22"/>
  <c r="BN534" i="22"/>
  <c r="BM534" i="22"/>
  <c r="BL534" i="22"/>
  <c r="BK534" i="22"/>
  <c r="BJ534" i="22"/>
  <c r="BI534" i="22"/>
  <c r="BH534" i="22"/>
  <c r="BG534" i="22"/>
  <c r="BF534" i="22"/>
  <c r="BE534" i="22"/>
  <c r="BD534" i="22"/>
  <c r="BC534" i="22"/>
  <c r="BB534" i="22"/>
  <c r="BA534" i="22"/>
  <c r="AZ534" i="22"/>
  <c r="AY534" i="22"/>
  <c r="AX534" i="22"/>
  <c r="AW534" i="22"/>
  <c r="AV534" i="22"/>
  <c r="AU534" i="22"/>
  <c r="AT534" i="22"/>
  <c r="AS534" i="22"/>
  <c r="AR534" i="22"/>
  <c r="AQ534" i="22"/>
  <c r="AP534" i="22"/>
  <c r="AO534" i="22"/>
  <c r="AN534" i="22"/>
  <c r="AM534" i="22"/>
  <c r="AL534" i="22"/>
  <c r="AK534" i="22"/>
  <c r="AJ534" i="22"/>
  <c r="AI534" i="22"/>
  <c r="AH534" i="22"/>
  <c r="AG534" i="22"/>
  <c r="AF534" i="22"/>
  <c r="AE534" i="22"/>
  <c r="AD534" i="22"/>
  <c r="AC534" i="22"/>
  <c r="AB534" i="22"/>
  <c r="AA534" i="22"/>
  <c r="Z534" i="22"/>
  <c r="Y534" i="22"/>
  <c r="X534" i="22"/>
  <c r="W534" i="22"/>
  <c r="V534" i="22"/>
  <c r="U534" i="22"/>
  <c r="T534" i="22"/>
  <c r="S534" i="22"/>
  <c r="R534" i="22"/>
  <c r="Q534" i="22"/>
  <c r="P534" i="22"/>
  <c r="O534" i="22"/>
  <c r="N534" i="22"/>
  <c r="M534" i="22"/>
  <c r="L534" i="22"/>
  <c r="K534" i="22"/>
  <c r="J534" i="22"/>
  <c r="I534" i="22"/>
  <c r="H534" i="22"/>
  <c r="G534" i="22"/>
  <c r="F534" i="22"/>
  <c r="E534" i="22"/>
  <c r="D534" i="22"/>
  <c r="C534" i="22"/>
  <c r="B534" i="22"/>
  <c r="A534" i="22"/>
  <c r="I617" i="22" s="1"/>
  <c r="CB533" i="22"/>
  <c r="CA533" i="22"/>
  <c r="BZ533" i="22"/>
  <c r="BY533" i="22"/>
  <c r="BX533" i="22"/>
  <c r="BW533" i="22"/>
  <c r="BV533" i="22"/>
  <c r="BU533" i="22"/>
  <c r="BT533" i="22"/>
  <c r="BS533" i="22"/>
  <c r="BR533" i="22"/>
  <c r="BQ533" i="22"/>
  <c r="BP533" i="22"/>
  <c r="BO533" i="22"/>
  <c r="BN533" i="22"/>
  <c r="BM533" i="22"/>
  <c r="BL533" i="22"/>
  <c r="BK533" i="22"/>
  <c r="BJ533" i="22"/>
  <c r="BI533" i="22"/>
  <c r="BH533" i="22"/>
  <c r="BG533" i="22"/>
  <c r="BF533" i="22"/>
  <c r="BE533" i="22"/>
  <c r="BD533" i="22"/>
  <c r="BC533" i="22"/>
  <c r="BB533" i="22"/>
  <c r="BA533" i="22"/>
  <c r="AZ533" i="22"/>
  <c r="AY533" i="22"/>
  <c r="AX533" i="22"/>
  <c r="AW533" i="22"/>
  <c r="AV533" i="22"/>
  <c r="AU533" i="22"/>
  <c r="AT533" i="22"/>
  <c r="AS533" i="22"/>
  <c r="AR533" i="22"/>
  <c r="AQ533" i="22"/>
  <c r="AP533" i="22"/>
  <c r="AO533" i="22"/>
  <c r="AN533" i="22"/>
  <c r="AM533" i="22"/>
  <c r="AL533" i="22"/>
  <c r="AK533" i="22"/>
  <c r="AJ533" i="22"/>
  <c r="AI533" i="22"/>
  <c r="AH533" i="22"/>
  <c r="AG533" i="22"/>
  <c r="AF533" i="22"/>
  <c r="AE533" i="22"/>
  <c r="AD533" i="22"/>
  <c r="AC533" i="22"/>
  <c r="AB533" i="22"/>
  <c r="AA533" i="22"/>
  <c r="Z533" i="22"/>
  <c r="Y533" i="22"/>
  <c r="X533" i="22"/>
  <c r="W533" i="22"/>
  <c r="V533" i="22"/>
  <c r="U533" i="22"/>
  <c r="T533" i="22"/>
  <c r="S533" i="22"/>
  <c r="R533" i="22"/>
  <c r="Q533" i="22"/>
  <c r="P533" i="22"/>
  <c r="O533" i="22"/>
  <c r="N533" i="22"/>
  <c r="M533" i="22"/>
  <c r="L533" i="22"/>
  <c r="K533" i="22"/>
  <c r="J533" i="22"/>
  <c r="I533" i="22"/>
  <c r="H533" i="22"/>
  <c r="G533" i="22"/>
  <c r="F533" i="22"/>
  <c r="E533" i="22"/>
  <c r="D533" i="22"/>
  <c r="C533" i="22"/>
  <c r="B533" i="22"/>
  <c r="A533" i="22"/>
  <c r="I616" i="22" s="1"/>
  <c r="CB532" i="22"/>
  <c r="CA532" i="22"/>
  <c r="BZ532" i="22"/>
  <c r="BY532" i="22"/>
  <c r="BX532" i="22"/>
  <c r="BW532" i="22"/>
  <c r="BV532" i="22"/>
  <c r="BU532" i="22"/>
  <c r="BT532" i="22"/>
  <c r="BS532" i="22"/>
  <c r="BR532" i="22"/>
  <c r="BQ532" i="22"/>
  <c r="BP532" i="22"/>
  <c r="BO532" i="22"/>
  <c r="BN532" i="22"/>
  <c r="BM532" i="22"/>
  <c r="BL532" i="22"/>
  <c r="BK532" i="22"/>
  <c r="BJ532" i="22"/>
  <c r="BI532" i="22"/>
  <c r="BH532" i="22"/>
  <c r="BG532" i="22"/>
  <c r="BF532" i="22"/>
  <c r="BE532" i="22"/>
  <c r="BD532" i="22"/>
  <c r="BC532" i="22"/>
  <c r="BB532" i="22"/>
  <c r="BA532" i="22"/>
  <c r="AZ532" i="22"/>
  <c r="AY532" i="22"/>
  <c r="AX532" i="22"/>
  <c r="AW532" i="22"/>
  <c r="AV532" i="22"/>
  <c r="AU532" i="22"/>
  <c r="AT532" i="22"/>
  <c r="AS532" i="22"/>
  <c r="AR532" i="22"/>
  <c r="AQ532" i="22"/>
  <c r="AP532" i="22"/>
  <c r="AO532" i="22"/>
  <c r="AN532" i="22"/>
  <c r="AM532" i="22"/>
  <c r="AL532" i="22"/>
  <c r="AK532" i="22"/>
  <c r="AJ532" i="22"/>
  <c r="AI532" i="22"/>
  <c r="AH532" i="22"/>
  <c r="AG532" i="22"/>
  <c r="AF532" i="22"/>
  <c r="AE532" i="22"/>
  <c r="AD532" i="22"/>
  <c r="AC532" i="22"/>
  <c r="AB532" i="22"/>
  <c r="AA532" i="22"/>
  <c r="Z532" i="22"/>
  <c r="Y532" i="22"/>
  <c r="X532" i="22"/>
  <c r="W532" i="22"/>
  <c r="V532" i="22"/>
  <c r="U532" i="22"/>
  <c r="T532" i="22"/>
  <c r="S532" i="22"/>
  <c r="R532" i="22"/>
  <c r="Q532" i="22"/>
  <c r="P532" i="22"/>
  <c r="O532" i="22"/>
  <c r="N532" i="22"/>
  <c r="M532" i="22"/>
  <c r="L532" i="22"/>
  <c r="K532" i="22"/>
  <c r="J532" i="22"/>
  <c r="I532" i="22"/>
  <c r="H532" i="22"/>
  <c r="G532" i="22"/>
  <c r="F532" i="22"/>
  <c r="E532" i="22"/>
  <c r="D532" i="22"/>
  <c r="C532" i="22"/>
  <c r="B532" i="22"/>
  <c r="A532" i="22"/>
  <c r="I615" i="22" s="1"/>
  <c r="CB531" i="22"/>
  <c r="CA531" i="22"/>
  <c r="BZ531" i="22"/>
  <c r="BY531" i="22"/>
  <c r="BX531" i="22"/>
  <c r="BW531" i="22"/>
  <c r="BV531" i="22"/>
  <c r="BU531" i="22"/>
  <c r="BT531" i="22"/>
  <c r="BS531" i="22"/>
  <c r="BR531" i="22"/>
  <c r="BQ531" i="22"/>
  <c r="BP531" i="22"/>
  <c r="BO531" i="22"/>
  <c r="BN531" i="22"/>
  <c r="BM531" i="22"/>
  <c r="BL531" i="22"/>
  <c r="BK531" i="22"/>
  <c r="BJ531" i="22"/>
  <c r="BI531" i="22"/>
  <c r="BH531" i="22"/>
  <c r="BG531" i="22"/>
  <c r="BF531" i="22"/>
  <c r="BE531" i="22"/>
  <c r="BD531" i="22"/>
  <c r="BC531" i="22"/>
  <c r="BB531" i="22"/>
  <c r="BA531" i="22"/>
  <c r="AZ531" i="22"/>
  <c r="AY531" i="22"/>
  <c r="AX531" i="22"/>
  <c r="AW531" i="22"/>
  <c r="AV531" i="22"/>
  <c r="AU531" i="22"/>
  <c r="AT531" i="22"/>
  <c r="AS531" i="22"/>
  <c r="AR531" i="22"/>
  <c r="AQ531" i="22"/>
  <c r="AP531" i="22"/>
  <c r="AO531" i="22"/>
  <c r="AN531" i="22"/>
  <c r="AM531" i="22"/>
  <c r="AL531" i="22"/>
  <c r="AK531" i="22"/>
  <c r="AJ531" i="22"/>
  <c r="AI531" i="22"/>
  <c r="AH531" i="22"/>
  <c r="AG531" i="22"/>
  <c r="AF531" i="22"/>
  <c r="AE531" i="22"/>
  <c r="AD531" i="22"/>
  <c r="AC531" i="22"/>
  <c r="AB531" i="22"/>
  <c r="AA531" i="22"/>
  <c r="Z531" i="22"/>
  <c r="Y531" i="22"/>
  <c r="X531" i="22"/>
  <c r="W531" i="22"/>
  <c r="V531" i="22"/>
  <c r="U531" i="22"/>
  <c r="T531" i="22"/>
  <c r="S531" i="22"/>
  <c r="R531" i="22"/>
  <c r="Q531" i="22"/>
  <c r="P531" i="22"/>
  <c r="O531" i="22"/>
  <c r="N531" i="22"/>
  <c r="M531" i="22"/>
  <c r="L531" i="22"/>
  <c r="K531" i="22"/>
  <c r="J531" i="22"/>
  <c r="I531" i="22"/>
  <c r="H531" i="22"/>
  <c r="G531" i="22"/>
  <c r="F531" i="22"/>
  <c r="E531" i="22"/>
  <c r="D531" i="22"/>
  <c r="C531" i="22"/>
  <c r="B531" i="22"/>
  <c r="A531" i="22"/>
  <c r="I614" i="22" s="1"/>
  <c r="CB530" i="22"/>
  <c r="CA530" i="22"/>
  <c r="BZ530" i="22"/>
  <c r="BY530" i="22"/>
  <c r="BX530" i="22"/>
  <c r="BW530" i="22"/>
  <c r="BV530" i="22"/>
  <c r="BU530" i="22"/>
  <c r="BT530" i="22"/>
  <c r="BS530" i="22"/>
  <c r="BR530" i="22"/>
  <c r="BQ530" i="22"/>
  <c r="BP530" i="22"/>
  <c r="BO530" i="22"/>
  <c r="BN530" i="22"/>
  <c r="BM530" i="22"/>
  <c r="BL530" i="22"/>
  <c r="BK530" i="22"/>
  <c r="BJ530" i="22"/>
  <c r="BI530" i="22"/>
  <c r="BH530" i="22"/>
  <c r="BG530" i="22"/>
  <c r="BF530" i="22"/>
  <c r="BE530" i="22"/>
  <c r="BD530" i="22"/>
  <c r="BC530" i="22"/>
  <c r="BB530" i="22"/>
  <c r="BA530" i="22"/>
  <c r="AZ530" i="22"/>
  <c r="AY530" i="22"/>
  <c r="AX530" i="22"/>
  <c r="AW530" i="22"/>
  <c r="AV530" i="22"/>
  <c r="AU530" i="22"/>
  <c r="AT530" i="22"/>
  <c r="AS530" i="22"/>
  <c r="AR530" i="22"/>
  <c r="AQ530" i="22"/>
  <c r="AP530" i="22"/>
  <c r="AO530" i="22"/>
  <c r="AN530" i="22"/>
  <c r="AM530" i="22"/>
  <c r="AL530" i="22"/>
  <c r="AK530" i="22"/>
  <c r="AJ530" i="22"/>
  <c r="AI530" i="22"/>
  <c r="AH530" i="22"/>
  <c r="AG530" i="22"/>
  <c r="AF530" i="22"/>
  <c r="AE530" i="22"/>
  <c r="AD530" i="22"/>
  <c r="AC530" i="22"/>
  <c r="AB530" i="22"/>
  <c r="AA530" i="22"/>
  <c r="Z530" i="22"/>
  <c r="Y530" i="22"/>
  <c r="X530" i="22"/>
  <c r="W530" i="22"/>
  <c r="V530" i="22"/>
  <c r="U530" i="22"/>
  <c r="T530" i="22"/>
  <c r="S530" i="22"/>
  <c r="R530" i="22"/>
  <c r="Q530" i="22"/>
  <c r="P530" i="22"/>
  <c r="O530" i="22"/>
  <c r="N530" i="22"/>
  <c r="M530" i="22"/>
  <c r="L530" i="22"/>
  <c r="K530" i="22"/>
  <c r="J530" i="22"/>
  <c r="I530" i="22"/>
  <c r="H530" i="22"/>
  <c r="G530" i="22"/>
  <c r="F530" i="22"/>
  <c r="E530" i="22"/>
  <c r="D530" i="22"/>
  <c r="C530" i="22"/>
  <c r="B530" i="22"/>
  <c r="A530" i="22"/>
  <c r="I613" i="22" s="1"/>
  <c r="CB529" i="22"/>
  <c r="CA529" i="22"/>
  <c r="BZ529" i="22"/>
  <c r="BY529" i="22"/>
  <c r="BX529" i="22"/>
  <c r="BW529" i="22"/>
  <c r="BV529" i="22"/>
  <c r="BU529" i="22"/>
  <c r="BT529" i="22"/>
  <c r="BS529" i="22"/>
  <c r="BR529" i="22"/>
  <c r="BQ529" i="22"/>
  <c r="BP529" i="22"/>
  <c r="BO529" i="22"/>
  <c r="BN529" i="22"/>
  <c r="BM529" i="22"/>
  <c r="BL529" i="22"/>
  <c r="BK529" i="22"/>
  <c r="BJ529" i="22"/>
  <c r="BI529" i="22"/>
  <c r="BH529" i="22"/>
  <c r="BG529" i="22"/>
  <c r="BF529" i="22"/>
  <c r="BE529" i="22"/>
  <c r="BD529" i="22"/>
  <c r="BC529" i="22"/>
  <c r="BB529" i="22"/>
  <c r="BA529" i="22"/>
  <c r="AZ529" i="22"/>
  <c r="AY529" i="22"/>
  <c r="AX529" i="22"/>
  <c r="AW529" i="22"/>
  <c r="AV529" i="22"/>
  <c r="AU529" i="22"/>
  <c r="AT529" i="22"/>
  <c r="AS529" i="22"/>
  <c r="AR529" i="22"/>
  <c r="AQ529" i="22"/>
  <c r="AP529" i="22"/>
  <c r="AO529" i="22"/>
  <c r="AN529" i="22"/>
  <c r="AM529" i="22"/>
  <c r="AL529" i="22"/>
  <c r="AK529" i="22"/>
  <c r="AJ529" i="22"/>
  <c r="AI529" i="22"/>
  <c r="AH529" i="22"/>
  <c r="AG529" i="22"/>
  <c r="AF529" i="22"/>
  <c r="AE529" i="22"/>
  <c r="AD529" i="22"/>
  <c r="AC529" i="22"/>
  <c r="AB529" i="22"/>
  <c r="AA529" i="22"/>
  <c r="Z529" i="22"/>
  <c r="Y529" i="22"/>
  <c r="X529" i="22"/>
  <c r="W529" i="22"/>
  <c r="V529" i="22"/>
  <c r="U529" i="22"/>
  <c r="T529" i="22"/>
  <c r="S529" i="22"/>
  <c r="R529" i="22"/>
  <c r="Q529" i="22"/>
  <c r="P529" i="22"/>
  <c r="O529" i="22"/>
  <c r="N529" i="22"/>
  <c r="M529" i="22"/>
  <c r="L529" i="22"/>
  <c r="K529" i="22"/>
  <c r="J529" i="22"/>
  <c r="I529" i="22"/>
  <c r="H529" i="22"/>
  <c r="G529" i="22"/>
  <c r="F529" i="22"/>
  <c r="E529" i="22"/>
  <c r="D529" i="22"/>
  <c r="C529" i="22"/>
  <c r="B529" i="22"/>
  <c r="A529" i="22"/>
  <c r="I612" i="22" s="1"/>
  <c r="CB528" i="22"/>
  <c r="CA528" i="22"/>
  <c r="BZ528" i="22"/>
  <c r="BY528" i="22"/>
  <c r="BX528" i="22"/>
  <c r="BW528" i="22"/>
  <c r="BV528" i="22"/>
  <c r="BU528" i="22"/>
  <c r="BT528" i="22"/>
  <c r="BS528" i="22"/>
  <c r="BR528" i="22"/>
  <c r="BQ528" i="22"/>
  <c r="BP528" i="22"/>
  <c r="BO528" i="22"/>
  <c r="BN528" i="22"/>
  <c r="BM528" i="22"/>
  <c r="BL528" i="22"/>
  <c r="BK528" i="22"/>
  <c r="BJ528" i="22"/>
  <c r="BI528" i="22"/>
  <c r="BH528" i="22"/>
  <c r="BG528" i="22"/>
  <c r="BF528" i="22"/>
  <c r="BE528" i="22"/>
  <c r="BD528" i="22"/>
  <c r="BC528" i="22"/>
  <c r="BB528" i="22"/>
  <c r="BA528" i="22"/>
  <c r="AZ528" i="22"/>
  <c r="AY528" i="22"/>
  <c r="AX528" i="22"/>
  <c r="AW528" i="22"/>
  <c r="AV528" i="22"/>
  <c r="AU528" i="22"/>
  <c r="AT528" i="22"/>
  <c r="AS528" i="22"/>
  <c r="AR528" i="22"/>
  <c r="AQ528" i="22"/>
  <c r="AP528" i="22"/>
  <c r="AO528" i="22"/>
  <c r="AN528" i="22"/>
  <c r="AM528" i="22"/>
  <c r="AL528" i="22"/>
  <c r="AK528" i="22"/>
  <c r="AJ528" i="22"/>
  <c r="AI528" i="22"/>
  <c r="AH528" i="22"/>
  <c r="AG528" i="22"/>
  <c r="AF528" i="22"/>
  <c r="AE528" i="22"/>
  <c r="AD528" i="22"/>
  <c r="AC528" i="22"/>
  <c r="AB528" i="22"/>
  <c r="AA528" i="22"/>
  <c r="Z528" i="22"/>
  <c r="Y528" i="22"/>
  <c r="X528" i="22"/>
  <c r="W528" i="22"/>
  <c r="V528" i="22"/>
  <c r="U528" i="22"/>
  <c r="T528" i="22"/>
  <c r="S528" i="22"/>
  <c r="R528" i="22"/>
  <c r="Q528" i="22"/>
  <c r="P528" i="22"/>
  <c r="O528" i="22"/>
  <c r="N528" i="22"/>
  <c r="M528" i="22"/>
  <c r="L528" i="22"/>
  <c r="K528" i="22"/>
  <c r="J528" i="22"/>
  <c r="I528" i="22"/>
  <c r="H528" i="22"/>
  <c r="G528" i="22"/>
  <c r="F528" i="22"/>
  <c r="E528" i="22"/>
  <c r="D528" i="22"/>
  <c r="C528" i="22"/>
  <c r="B528" i="22"/>
  <c r="A528" i="22"/>
  <c r="I611" i="22" s="1"/>
  <c r="CB527" i="22"/>
  <c r="CA527" i="22"/>
  <c r="BZ527" i="22"/>
  <c r="BY527" i="22"/>
  <c r="BX527" i="22"/>
  <c r="BW527" i="22"/>
  <c r="BV527" i="22"/>
  <c r="BU527" i="22"/>
  <c r="BT527" i="22"/>
  <c r="BS527" i="22"/>
  <c r="BR527" i="22"/>
  <c r="BQ527" i="22"/>
  <c r="BP527" i="22"/>
  <c r="BO527" i="22"/>
  <c r="BN527" i="22"/>
  <c r="BM527" i="22"/>
  <c r="BL527" i="22"/>
  <c r="BK527" i="22"/>
  <c r="BJ527" i="22"/>
  <c r="BI527" i="22"/>
  <c r="BH527" i="22"/>
  <c r="BG527" i="22"/>
  <c r="BF527" i="22"/>
  <c r="BE527" i="22"/>
  <c r="BD527" i="22"/>
  <c r="BC527" i="22"/>
  <c r="BB527" i="22"/>
  <c r="BA527" i="22"/>
  <c r="AZ527" i="22"/>
  <c r="AY527" i="22"/>
  <c r="AX527" i="22"/>
  <c r="AW527" i="22"/>
  <c r="AV527" i="22"/>
  <c r="AU527" i="22"/>
  <c r="AT527" i="22"/>
  <c r="AS527" i="22"/>
  <c r="AR527" i="22"/>
  <c r="AQ527" i="22"/>
  <c r="AP527" i="22"/>
  <c r="AO527" i="22"/>
  <c r="AN527" i="22"/>
  <c r="AM527" i="22"/>
  <c r="AL527" i="22"/>
  <c r="AK527" i="22"/>
  <c r="AJ527" i="22"/>
  <c r="AI527" i="22"/>
  <c r="AH527" i="22"/>
  <c r="AG527" i="22"/>
  <c r="AF527" i="22"/>
  <c r="AE527" i="22"/>
  <c r="AD527" i="22"/>
  <c r="AC527" i="22"/>
  <c r="AB527" i="22"/>
  <c r="AA527" i="22"/>
  <c r="Z527" i="22"/>
  <c r="Y527" i="22"/>
  <c r="X527" i="22"/>
  <c r="W527" i="22"/>
  <c r="V527" i="22"/>
  <c r="U527" i="22"/>
  <c r="T527" i="22"/>
  <c r="S527" i="22"/>
  <c r="R527" i="22"/>
  <c r="Q527" i="22"/>
  <c r="P527" i="22"/>
  <c r="O527" i="22"/>
  <c r="N527" i="22"/>
  <c r="M527" i="22"/>
  <c r="L527" i="22"/>
  <c r="K527" i="22"/>
  <c r="J527" i="22"/>
  <c r="I527" i="22"/>
  <c r="H527" i="22"/>
  <c r="G527" i="22"/>
  <c r="F527" i="22"/>
  <c r="E527" i="22"/>
  <c r="D527" i="22"/>
  <c r="C527" i="22"/>
  <c r="B527" i="22"/>
  <c r="A527" i="22"/>
  <c r="I610" i="22" s="1"/>
  <c r="CB526" i="22"/>
  <c r="CA526" i="22"/>
  <c r="BZ526" i="22"/>
  <c r="BY526" i="22"/>
  <c r="BX526" i="22"/>
  <c r="BW526" i="22"/>
  <c r="BV526" i="22"/>
  <c r="BU526" i="22"/>
  <c r="BT526" i="22"/>
  <c r="BS526" i="22"/>
  <c r="BR526" i="22"/>
  <c r="BQ526" i="22"/>
  <c r="BP526" i="22"/>
  <c r="BO526" i="22"/>
  <c r="BN526" i="22"/>
  <c r="BM526" i="22"/>
  <c r="BL526" i="22"/>
  <c r="BK526" i="22"/>
  <c r="BJ526" i="22"/>
  <c r="BI526" i="22"/>
  <c r="BH526" i="22"/>
  <c r="BG526" i="22"/>
  <c r="BF526" i="22"/>
  <c r="BE526" i="22"/>
  <c r="BD526" i="22"/>
  <c r="BC526" i="22"/>
  <c r="BB526" i="22"/>
  <c r="BA526" i="22"/>
  <c r="AZ526" i="22"/>
  <c r="AY526" i="22"/>
  <c r="AX526" i="22"/>
  <c r="AW526" i="22"/>
  <c r="AV526" i="22"/>
  <c r="AU526" i="22"/>
  <c r="AT526" i="22"/>
  <c r="AS526" i="22"/>
  <c r="AR526" i="22"/>
  <c r="AQ526" i="22"/>
  <c r="AP526" i="22"/>
  <c r="AO526" i="22"/>
  <c r="AN526" i="22"/>
  <c r="AM526" i="22"/>
  <c r="AL526" i="22"/>
  <c r="AK526" i="22"/>
  <c r="AJ526" i="22"/>
  <c r="AI526" i="22"/>
  <c r="AH526" i="22"/>
  <c r="AG526" i="22"/>
  <c r="AF526" i="22"/>
  <c r="AE526" i="22"/>
  <c r="AD526" i="22"/>
  <c r="AC526" i="22"/>
  <c r="AB526" i="22"/>
  <c r="AA526" i="22"/>
  <c r="Z526" i="22"/>
  <c r="Y526" i="22"/>
  <c r="X526" i="22"/>
  <c r="W526" i="22"/>
  <c r="V526" i="22"/>
  <c r="U526" i="22"/>
  <c r="T526" i="22"/>
  <c r="S526" i="22"/>
  <c r="R526" i="22"/>
  <c r="Q526" i="22"/>
  <c r="P526" i="22"/>
  <c r="O526" i="22"/>
  <c r="N526" i="22"/>
  <c r="M526" i="22"/>
  <c r="L526" i="22"/>
  <c r="K526" i="22"/>
  <c r="J526" i="22"/>
  <c r="I526" i="22"/>
  <c r="H526" i="22"/>
  <c r="G526" i="22"/>
  <c r="F526" i="22"/>
  <c r="E526" i="22"/>
  <c r="D526" i="22"/>
  <c r="C526" i="22"/>
  <c r="B526" i="22"/>
  <c r="A526" i="22"/>
  <c r="I609" i="22" s="1"/>
  <c r="CB525" i="22"/>
  <c r="CA525" i="22"/>
  <c r="BZ525" i="22"/>
  <c r="BY525" i="22"/>
  <c r="BX525" i="22"/>
  <c r="BW525" i="22"/>
  <c r="BV525" i="22"/>
  <c r="BU525" i="22"/>
  <c r="BT525" i="22"/>
  <c r="BS525" i="22"/>
  <c r="BR525" i="22"/>
  <c r="BQ525" i="22"/>
  <c r="BP525" i="22"/>
  <c r="BO525" i="22"/>
  <c r="BN525" i="22"/>
  <c r="BM525" i="22"/>
  <c r="BL525" i="22"/>
  <c r="BK525" i="22"/>
  <c r="BJ525" i="22"/>
  <c r="BI525" i="22"/>
  <c r="BH525" i="22"/>
  <c r="BG525" i="22"/>
  <c r="BF525" i="22"/>
  <c r="BE525" i="22"/>
  <c r="BD525" i="22"/>
  <c r="BC525" i="22"/>
  <c r="BB525" i="22"/>
  <c r="BA525" i="22"/>
  <c r="AZ525" i="22"/>
  <c r="AY525" i="22"/>
  <c r="AX525" i="22"/>
  <c r="AW525" i="22"/>
  <c r="AV525" i="22"/>
  <c r="AU525" i="22"/>
  <c r="AT525" i="22"/>
  <c r="AS525" i="22"/>
  <c r="AR525" i="22"/>
  <c r="AQ525" i="22"/>
  <c r="AP525" i="22"/>
  <c r="AO525" i="22"/>
  <c r="AN525" i="22"/>
  <c r="AM525" i="22"/>
  <c r="AL525" i="22"/>
  <c r="AK525" i="22"/>
  <c r="AJ525" i="22"/>
  <c r="AI525" i="22"/>
  <c r="AH525" i="22"/>
  <c r="AG525" i="22"/>
  <c r="AF525" i="22"/>
  <c r="AE525" i="22"/>
  <c r="AD525" i="22"/>
  <c r="AC525" i="22"/>
  <c r="AB525" i="22"/>
  <c r="AA525" i="22"/>
  <c r="Z525" i="22"/>
  <c r="Y525" i="22"/>
  <c r="X525" i="22"/>
  <c r="W525" i="22"/>
  <c r="V525" i="22"/>
  <c r="U525" i="22"/>
  <c r="T525" i="22"/>
  <c r="S525" i="22"/>
  <c r="R525" i="22"/>
  <c r="Q525" i="22"/>
  <c r="P525" i="22"/>
  <c r="O525" i="22"/>
  <c r="N525" i="22"/>
  <c r="M525" i="22"/>
  <c r="L525" i="22"/>
  <c r="K525" i="22"/>
  <c r="J525" i="22"/>
  <c r="I525" i="22"/>
  <c r="H525" i="22"/>
  <c r="G525" i="22"/>
  <c r="F525" i="22"/>
  <c r="E525" i="22"/>
  <c r="D525" i="22"/>
  <c r="C525" i="22"/>
  <c r="B525" i="22"/>
  <c r="A525" i="22"/>
  <c r="I608" i="22" s="1"/>
  <c r="CB524" i="22"/>
  <c r="CA524" i="22"/>
  <c r="BZ524" i="22"/>
  <c r="BY524" i="22"/>
  <c r="BX524" i="22"/>
  <c r="BW524" i="22"/>
  <c r="BV524" i="22"/>
  <c r="BU524" i="22"/>
  <c r="BT524" i="22"/>
  <c r="BS524" i="22"/>
  <c r="BR524" i="22"/>
  <c r="BQ524" i="22"/>
  <c r="BP524" i="22"/>
  <c r="BO524" i="22"/>
  <c r="BN524" i="22"/>
  <c r="BM524" i="22"/>
  <c r="BL524" i="22"/>
  <c r="BK524" i="22"/>
  <c r="BJ524" i="22"/>
  <c r="BI524" i="22"/>
  <c r="BH524" i="22"/>
  <c r="BG524" i="22"/>
  <c r="BF524" i="22"/>
  <c r="BE524" i="22"/>
  <c r="BD524" i="22"/>
  <c r="BC524" i="22"/>
  <c r="BB524" i="22"/>
  <c r="BA524" i="22"/>
  <c r="AZ524" i="22"/>
  <c r="AY524" i="22"/>
  <c r="AX524" i="22"/>
  <c r="AW524" i="22"/>
  <c r="AV524" i="22"/>
  <c r="AU524" i="22"/>
  <c r="AT524" i="22"/>
  <c r="AS524" i="22"/>
  <c r="AR524" i="22"/>
  <c r="AQ524" i="22"/>
  <c r="AP524" i="22"/>
  <c r="AO524" i="22"/>
  <c r="AN524" i="22"/>
  <c r="AM524" i="22"/>
  <c r="AL524" i="22"/>
  <c r="AK524" i="22"/>
  <c r="AJ524" i="22"/>
  <c r="AI524" i="22"/>
  <c r="AH524" i="22"/>
  <c r="AG524" i="22"/>
  <c r="AF524" i="22"/>
  <c r="AE524" i="22"/>
  <c r="AD524" i="22"/>
  <c r="AC524" i="22"/>
  <c r="AB524" i="22"/>
  <c r="AA524" i="22"/>
  <c r="Z524" i="22"/>
  <c r="Y524" i="22"/>
  <c r="X524" i="22"/>
  <c r="W524" i="22"/>
  <c r="V524" i="22"/>
  <c r="U524" i="22"/>
  <c r="T524" i="22"/>
  <c r="S524" i="22"/>
  <c r="R524" i="22"/>
  <c r="Q524" i="22"/>
  <c r="P524" i="22"/>
  <c r="O524" i="22"/>
  <c r="N524" i="22"/>
  <c r="M524" i="22"/>
  <c r="L524" i="22"/>
  <c r="K524" i="22"/>
  <c r="J524" i="22"/>
  <c r="I524" i="22"/>
  <c r="H524" i="22"/>
  <c r="G524" i="22"/>
  <c r="F524" i="22"/>
  <c r="E524" i="22"/>
  <c r="D524" i="22"/>
  <c r="C524" i="22"/>
  <c r="B524" i="22"/>
  <c r="A524" i="22"/>
  <c r="I607" i="22" s="1"/>
  <c r="CB523" i="22"/>
  <c r="CA523" i="22"/>
  <c r="BZ523" i="22"/>
  <c r="BY523" i="22"/>
  <c r="BX523" i="22"/>
  <c r="BW523" i="22"/>
  <c r="BV523" i="22"/>
  <c r="BU523" i="22"/>
  <c r="BT523" i="22"/>
  <c r="BS523" i="22"/>
  <c r="BR523" i="22"/>
  <c r="BQ523" i="22"/>
  <c r="BP523" i="22"/>
  <c r="BO523" i="22"/>
  <c r="BN523" i="22"/>
  <c r="BM523" i="22"/>
  <c r="BL523" i="22"/>
  <c r="BK523" i="22"/>
  <c r="BJ523" i="22"/>
  <c r="BI523" i="22"/>
  <c r="BH523" i="22"/>
  <c r="BG523" i="22"/>
  <c r="BF523" i="22"/>
  <c r="BE523" i="22"/>
  <c r="BD523" i="22"/>
  <c r="BC523" i="22"/>
  <c r="BB523" i="22"/>
  <c r="BA523" i="22"/>
  <c r="AZ523" i="22"/>
  <c r="AY523" i="22"/>
  <c r="AX523" i="22"/>
  <c r="AW523" i="22"/>
  <c r="AV523" i="22"/>
  <c r="AU523" i="22"/>
  <c r="AT523" i="22"/>
  <c r="AS523" i="22"/>
  <c r="AR523" i="22"/>
  <c r="AQ523" i="22"/>
  <c r="AP523" i="22"/>
  <c r="AO523" i="22"/>
  <c r="AN523" i="22"/>
  <c r="AM523" i="22"/>
  <c r="AL523" i="22"/>
  <c r="AK523" i="22"/>
  <c r="AJ523" i="22"/>
  <c r="AI523" i="22"/>
  <c r="AH523" i="22"/>
  <c r="AG523" i="22"/>
  <c r="AF523" i="22"/>
  <c r="AE523" i="22"/>
  <c r="AD523" i="22"/>
  <c r="AC523" i="22"/>
  <c r="AB523" i="22"/>
  <c r="AA523" i="22"/>
  <c r="Z523" i="22"/>
  <c r="Y523" i="22"/>
  <c r="X523" i="22"/>
  <c r="W523" i="22"/>
  <c r="V523" i="22"/>
  <c r="U523" i="22"/>
  <c r="T523" i="22"/>
  <c r="S523" i="22"/>
  <c r="R523" i="22"/>
  <c r="Q523" i="22"/>
  <c r="P523" i="22"/>
  <c r="O523" i="22"/>
  <c r="N523" i="22"/>
  <c r="M523" i="22"/>
  <c r="L523" i="22"/>
  <c r="K523" i="22"/>
  <c r="J523" i="22"/>
  <c r="I523" i="22"/>
  <c r="H523" i="22"/>
  <c r="G523" i="22"/>
  <c r="F523" i="22"/>
  <c r="E523" i="22"/>
  <c r="D523" i="22"/>
  <c r="C523" i="22"/>
  <c r="B523" i="22"/>
  <c r="A523" i="22"/>
  <c r="I606" i="22" s="1"/>
  <c r="CB522" i="22"/>
  <c r="CA522" i="22"/>
  <c r="BZ522" i="22"/>
  <c r="BY522" i="22"/>
  <c r="BX522" i="22"/>
  <c r="BW522" i="22"/>
  <c r="BV522" i="22"/>
  <c r="BU522" i="22"/>
  <c r="BT522" i="22"/>
  <c r="BS522" i="22"/>
  <c r="BR522" i="22"/>
  <c r="BQ522" i="22"/>
  <c r="BP522" i="22"/>
  <c r="BO522" i="22"/>
  <c r="BN522" i="22"/>
  <c r="BM522" i="22"/>
  <c r="BL522" i="22"/>
  <c r="BK522" i="22"/>
  <c r="BJ522" i="22"/>
  <c r="BI522" i="22"/>
  <c r="BH522" i="22"/>
  <c r="BG522" i="22"/>
  <c r="BF522" i="22"/>
  <c r="BE522" i="22"/>
  <c r="BD522" i="22"/>
  <c r="BC522" i="22"/>
  <c r="BB522" i="22"/>
  <c r="BA522" i="22"/>
  <c r="AZ522" i="22"/>
  <c r="AY522" i="22"/>
  <c r="AX522" i="22"/>
  <c r="AW522" i="22"/>
  <c r="AV522" i="22"/>
  <c r="AU522" i="22"/>
  <c r="AT522" i="22"/>
  <c r="AS522" i="22"/>
  <c r="AR522" i="22"/>
  <c r="AQ522" i="22"/>
  <c r="AP522" i="22"/>
  <c r="AO522" i="22"/>
  <c r="AN522" i="22"/>
  <c r="AM522" i="22"/>
  <c r="AL522" i="22"/>
  <c r="AK522" i="22"/>
  <c r="AJ522" i="22"/>
  <c r="AI522" i="22"/>
  <c r="AH522" i="22"/>
  <c r="AG522" i="22"/>
  <c r="AF522" i="22"/>
  <c r="AE522" i="22"/>
  <c r="AD522" i="22"/>
  <c r="AC522" i="22"/>
  <c r="AB522" i="22"/>
  <c r="AA522" i="22"/>
  <c r="Z522" i="22"/>
  <c r="Y522" i="22"/>
  <c r="X522" i="22"/>
  <c r="W522" i="22"/>
  <c r="V522" i="22"/>
  <c r="U522" i="22"/>
  <c r="T522" i="22"/>
  <c r="S522" i="22"/>
  <c r="R522" i="22"/>
  <c r="Q522" i="22"/>
  <c r="P522" i="22"/>
  <c r="O522" i="22"/>
  <c r="N522" i="22"/>
  <c r="M522" i="22"/>
  <c r="L522" i="22"/>
  <c r="K522" i="22"/>
  <c r="J522" i="22"/>
  <c r="I522" i="22"/>
  <c r="H522" i="22"/>
  <c r="G522" i="22"/>
  <c r="F522" i="22"/>
  <c r="E522" i="22"/>
  <c r="D522" i="22"/>
  <c r="C522" i="22"/>
  <c r="B522" i="22"/>
  <c r="A522" i="22"/>
  <c r="I605" i="22" s="1"/>
  <c r="CB521" i="22"/>
  <c r="CA521" i="22"/>
  <c r="BZ521" i="22"/>
  <c r="BY521" i="22"/>
  <c r="BX521" i="22"/>
  <c r="BW521" i="22"/>
  <c r="BV521" i="22"/>
  <c r="BU521" i="22"/>
  <c r="BT521" i="22"/>
  <c r="BS521" i="22"/>
  <c r="BR521" i="22"/>
  <c r="BQ521" i="22"/>
  <c r="BP521" i="22"/>
  <c r="BO521" i="22"/>
  <c r="BN521" i="22"/>
  <c r="BM521" i="22"/>
  <c r="BL521" i="22"/>
  <c r="BK521" i="22"/>
  <c r="BJ521" i="22"/>
  <c r="BI521" i="22"/>
  <c r="BH521" i="22"/>
  <c r="BG521" i="22"/>
  <c r="BF521" i="22"/>
  <c r="BE521" i="22"/>
  <c r="BD521" i="22"/>
  <c r="BC521" i="22"/>
  <c r="BB521" i="22"/>
  <c r="BA521" i="22"/>
  <c r="AZ521" i="22"/>
  <c r="AY521" i="22"/>
  <c r="AX521" i="22"/>
  <c r="AW521" i="22"/>
  <c r="AV521" i="22"/>
  <c r="AU521" i="22"/>
  <c r="AT521" i="22"/>
  <c r="AS521" i="22"/>
  <c r="AR521" i="22"/>
  <c r="AQ521" i="22"/>
  <c r="AP521" i="22"/>
  <c r="AO521" i="22"/>
  <c r="AN521" i="22"/>
  <c r="AM521" i="22"/>
  <c r="AL521" i="22"/>
  <c r="AK521" i="22"/>
  <c r="AJ521" i="22"/>
  <c r="AI521" i="22"/>
  <c r="AH521" i="22"/>
  <c r="AG521" i="22"/>
  <c r="AF521" i="22"/>
  <c r="AE521" i="22"/>
  <c r="AD521" i="22"/>
  <c r="AC521" i="22"/>
  <c r="AB521" i="22"/>
  <c r="AA521" i="22"/>
  <c r="Z521" i="22"/>
  <c r="Y521" i="22"/>
  <c r="X521" i="22"/>
  <c r="W521" i="22"/>
  <c r="V521" i="22"/>
  <c r="U521" i="22"/>
  <c r="T521" i="22"/>
  <c r="S521" i="22"/>
  <c r="R521" i="22"/>
  <c r="Q521" i="22"/>
  <c r="P521" i="22"/>
  <c r="O521" i="22"/>
  <c r="N521" i="22"/>
  <c r="M521" i="22"/>
  <c r="L521" i="22"/>
  <c r="K521" i="22"/>
  <c r="J521" i="22"/>
  <c r="I521" i="22"/>
  <c r="H521" i="22"/>
  <c r="G521" i="22"/>
  <c r="F521" i="22"/>
  <c r="E521" i="22"/>
  <c r="D521" i="22"/>
  <c r="C521" i="22"/>
  <c r="B521" i="22"/>
  <c r="A521" i="22"/>
  <c r="I604" i="22" s="1"/>
  <c r="CB520" i="22"/>
  <c r="CA520" i="22"/>
  <c r="BZ520" i="22"/>
  <c r="BY520" i="22"/>
  <c r="BX520" i="22"/>
  <c r="BW520" i="22"/>
  <c r="BV520" i="22"/>
  <c r="BU520" i="22"/>
  <c r="BT520" i="22"/>
  <c r="BS520" i="22"/>
  <c r="BR520" i="22"/>
  <c r="BQ520" i="22"/>
  <c r="BP520" i="22"/>
  <c r="BO520" i="22"/>
  <c r="BN520" i="22"/>
  <c r="BM520" i="22"/>
  <c r="BL520" i="22"/>
  <c r="BK520" i="22"/>
  <c r="BJ520" i="22"/>
  <c r="BI520" i="22"/>
  <c r="BH520" i="22"/>
  <c r="BG520" i="22"/>
  <c r="BF520" i="22"/>
  <c r="BE520" i="22"/>
  <c r="BD520" i="22"/>
  <c r="BC520" i="22"/>
  <c r="BB520" i="22"/>
  <c r="BA520" i="22"/>
  <c r="AZ520" i="22"/>
  <c r="AY520" i="22"/>
  <c r="AX520" i="22"/>
  <c r="AW520" i="22"/>
  <c r="AV520" i="22"/>
  <c r="AU520" i="22"/>
  <c r="AT520" i="22"/>
  <c r="AS520" i="22"/>
  <c r="AR520" i="22"/>
  <c r="AQ520" i="22"/>
  <c r="AP520" i="22"/>
  <c r="AO520" i="22"/>
  <c r="AN520" i="22"/>
  <c r="AM520" i="22"/>
  <c r="AL520" i="22"/>
  <c r="AK520" i="22"/>
  <c r="AJ520" i="22"/>
  <c r="AI520" i="22"/>
  <c r="AH520" i="22"/>
  <c r="AG520" i="22"/>
  <c r="AF520" i="22"/>
  <c r="AE520" i="22"/>
  <c r="AD520" i="22"/>
  <c r="AC520" i="22"/>
  <c r="AB520" i="22"/>
  <c r="AA520" i="22"/>
  <c r="Z520" i="22"/>
  <c r="Y520" i="22"/>
  <c r="X520" i="22"/>
  <c r="W520" i="22"/>
  <c r="V520" i="22"/>
  <c r="U520" i="22"/>
  <c r="T520" i="22"/>
  <c r="S520" i="22"/>
  <c r="R520" i="22"/>
  <c r="Q520" i="22"/>
  <c r="P520" i="22"/>
  <c r="O520" i="22"/>
  <c r="N520" i="22"/>
  <c r="M520" i="22"/>
  <c r="L520" i="22"/>
  <c r="K520" i="22"/>
  <c r="J520" i="22"/>
  <c r="I520" i="22"/>
  <c r="H520" i="22"/>
  <c r="G520" i="22"/>
  <c r="F520" i="22"/>
  <c r="E520" i="22"/>
  <c r="D520" i="22"/>
  <c r="C520" i="22"/>
  <c r="B520" i="22"/>
  <c r="A520" i="22"/>
  <c r="I603" i="22" s="1"/>
  <c r="CB519" i="22"/>
  <c r="CA519" i="22"/>
  <c r="BZ519" i="22"/>
  <c r="BY519" i="22"/>
  <c r="BX519" i="22"/>
  <c r="BW519" i="22"/>
  <c r="BV519" i="22"/>
  <c r="BU519" i="22"/>
  <c r="BT519" i="22"/>
  <c r="BS519" i="22"/>
  <c r="BR519" i="22"/>
  <c r="BQ519" i="22"/>
  <c r="BP519" i="22"/>
  <c r="BO519" i="22"/>
  <c r="BN519" i="22"/>
  <c r="BM519" i="22"/>
  <c r="BL519" i="22"/>
  <c r="BK519" i="22"/>
  <c r="BJ519" i="22"/>
  <c r="BI519" i="22"/>
  <c r="BH519" i="22"/>
  <c r="BG519" i="22"/>
  <c r="BF519" i="22"/>
  <c r="BE519" i="22"/>
  <c r="BD519" i="22"/>
  <c r="BC519" i="22"/>
  <c r="BB519" i="22"/>
  <c r="BA519" i="22"/>
  <c r="AZ519" i="22"/>
  <c r="AY519" i="22"/>
  <c r="AX519" i="22"/>
  <c r="AW519" i="22"/>
  <c r="AV519" i="22"/>
  <c r="AU519" i="22"/>
  <c r="AT519" i="22"/>
  <c r="AS519" i="22"/>
  <c r="AR519" i="22"/>
  <c r="AQ519" i="22"/>
  <c r="AP519" i="22"/>
  <c r="AO519" i="22"/>
  <c r="AN519" i="22"/>
  <c r="AM519" i="22"/>
  <c r="AL519" i="22"/>
  <c r="AK519" i="22"/>
  <c r="AJ519" i="22"/>
  <c r="AI519" i="22"/>
  <c r="AH519" i="22"/>
  <c r="AG519" i="22"/>
  <c r="AF519" i="22"/>
  <c r="AE519" i="22"/>
  <c r="AD519" i="22"/>
  <c r="AC519" i="22"/>
  <c r="AB519" i="22"/>
  <c r="AA519" i="22"/>
  <c r="Z519" i="22"/>
  <c r="Y519" i="22"/>
  <c r="X519" i="22"/>
  <c r="W519" i="22"/>
  <c r="V519" i="22"/>
  <c r="U519" i="22"/>
  <c r="T519" i="22"/>
  <c r="S519" i="22"/>
  <c r="R519" i="22"/>
  <c r="Q519" i="22"/>
  <c r="P519" i="22"/>
  <c r="O519" i="22"/>
  <c r="N519" i="22"/>
  <c r="M519" i="22"/>
  <c r="L519" i="22"/>
  <c r="K519" i="22"/>
  <c r="J519" i="22"/>
  <c r="I519" i="22"/>
  <c r="H519" i="22"/>
  <c r="G519" i="22"/>
  <c r="F519" i="22"/>
  <c r="E519" i="22"/>
  <c r="D519" i="22"/>
  <c r="C519" i="22"/>
  <c r="B519" i="22"/>
  <c r="A519" i="22"/>
  <c r="I602" i="22" s="1"/>
  <c r="CB518" i="22"/>
  <c r="CA518" i="22"/>
  <c r="BZ518" i="22"/>
  <c r="BY518" i="22"/>
  <c r="BX518" i="22"/>
  <c r="BW518" i="22"/>
  <c r="BV518" i="22"/>
  <c r="BU518" i="22"/>
  <c r="BT518" i="22"/>
  <c r="BS518" i="22"/>
  <c r="BR518" i="22"/>
  <c r="BQ518" i="22"/>
  <c r="BP518" i="22"/>
  <c r="BO518" i="22"/>
  <c r="BN518" i="22"/>
  <c r="BM518" i="22"/>
  <c r="BL518" i="22"/>
  <c r="BK518" i="22"/>
  <c r="BJ518" i="22"/>
  <c r="BI518" i="22"/>
  <c r="BH518" i="22"/>
  <c r="BG518" i="22"/>
  <c r="BF518" i="22"/>
  <c r="BE518" i="22"/>
  <c r="BD518" i="22"/>
  <c r="BC518" i="22"/>
  <c r="BB518" i="22"/>
  <c r="BA518" i="22"/>
  <c r="AZ518" i="22"/>
  <c r="AY518" i="22"/>
  <c r="AX518" i="22"/>
  <c r="AW518" i="22"/>
  <c r="AV518" i="22"/>
  <c r="AU518" i="22"/>
  <c r="AT518" i="22"/>
  <c r="AS518" i="22"/>
  <c r="AR518" i="22"/>
  <c r="AQ518" i="22"/>
  <c r="AP518" i="22"/>
  <c r="AO518" i="22"/>
  <c r="AN518" i="22"/>
  <c r="AM518" i="22"/>
  <c r="AL518" i="22"/>
  <c r="AK518" i="22"/>
  <c r="AJ518" i="22"/>
  <c r="AI518" i="22"/>
  <c r="AH518" i="22"/>
  <c r="AG518" i="22"/>
  <c r="AF518" i="22"/>
  <c r="AE518" i="22"/>
  <c r="AD518" i="22"/>
  <c r="AC518" i="22"/>
  <c r="AB518" i="22"/>
  <c r="AA518" i="22"/>
  <c r="Z518" i="22"/>
  <c r="Y518" i="22"/>
  <c r="X518" i="22"/>
  <c r="W518" i="22"/>
  <c r="V518" i="22"/>
  <c r="U518" i="22"/>
  <c r="T518" i="22"/>
  <c r="S518" i="22"/>
  <c r="R518" i="22"/>
  <c r="Q518" i="22"/>
  <c r="P518" i="22"/>
  <c r="O518" i="22"/>
  <c r="N518" i="22"/>
  <c r="M518" i="22"/>
  <c r="L518" i="22"/>
  <c r="K518" i="22"/>
  <c r="J518" i="22"/>
  <c r="I518" i="22"/>
  <c r="H518" i="22"/>
  <c r="G518" i="22"/>
  <c r="F518" i="22"/>
  <c r="E518" i="22"/>
  <c r="D518" i="22"/>
  <c r="C518" i="22"/>
  <c r="B518" i="22"/>
  <c r="A518" i="22"/>
  <c r="I601" i="22" s="1"/>
  <c r="CB517" i="22"/>
  <c r="CA517" i="22"/>
  <c r="BZ517" i="22"/>
  <c r="BY517" i="22"/>
  <c r="BX517" i="22"/>
  <c r="BW517" i="22"/>
  <c r="BV517" i="22"/>
  <c r="BU517" i="22"/>
  <c r="BT517" i="22"/>
  <c r="BS517" i="22"/>
  <c r="BR517" i="22"/>
  <c r="BQ517" i="22"/>
  <c r="BP517" i="22"/>
  <c r="BO517" i="22"/>
  <c r="BN517" i="22"/>
  <c r="BM517" i="22"/>
  <c r="BL517" i="22"/>
  <c r="BK517" i="22"/>
  <c r="BJ517" i="22"/>
  <c r="BI517" i="22"/>
  <c r="BH517" i="22"/>
  <c r="BG517" i="22"/>
  <c r="BF517" i="22"/>
  <c r="BE517" i="22"/>
  <c r="BD517" i="22"/>
  <c r="BC517" i="22"/>
  <c r="BB517" i="22"/>
  <c r="BA517" i="22"/>
  <c r="AZ517" i="22"/>
  <c r="AY517" i="22"/>
  <c r="AX517" i="22"/>
  <c r="AW517" i="22"/>
  <c r="AV517" i="22"/>
  <c r="AU517" i="22"/>
  <c r="AT517" i="22"/>
  <c r="AS517" i="22"/>
  <c r="AR517" i="22"/>
  <c r="AQ517" i="22"/>
  <c r="AP517" i="22"/>
  <c r="AO517" i="22"/>
  <c r="AN517" i="22"/>
  <c r="AM517" i="22"/>
  <c r="AL517" i="22"/>
  <c r="AK517" i="22"/>
  <c r="AJ517" i="22"/>
  <c r="AI517" i="22"/>
  <c r="AH517" i="22"/>
  <c r="AG517" i="22"/>
  <c r="AF517" i="22"/>
  <c r="AE517" i="22"/>
  <c r="AD517" i="22"/>
  <c r="AC517" i="22"/>
  <c r="AB517" i="22"/>
  <c r="AA517" i="22"/>
  <c r="Z517" i="22"/>
  <c r="Y517" i="22"/>
  <c r="X517" i="22"/>
  <c r="W517" i="22"/>
  <c r="V517" i="22"/>
  <c r="U517" i="22"/>
  <c r="T517" i="22"/>
  <c r="S517" i="22"/>
  <c r="R517" i="22"/>
  <c r="Q517" i="22"/>
  <c r="P517" i="22"/>
  <c r="O517" i="22"/>
  <c r="N517" i="22"/>
  <c r="M517" i="22"/>
  <c r="L517" i="22"/>
  <c r="K517" i="22"/>
  <c r="J517" i="22"/>
  <c r="I517" i="22"/>
  <c r="H517" i="22"/>
  <c r="G517" i="22"/>
  <c r="F517" i="22"/>
  <c r="E517" i="22"/>
  <c r="D517" i="22"/>
  <c r="C517" i="22"/>
  <c r="B517" i="22"/>
  <c r="A517" i="22"/>
  <c r="I600" i="22" s="1"/>
  <c r="CB516" i="22"/>
  <c r="CA516" i="22"/>
  <c r="BZ516" i="22"/>
  <c r="BY516" i="22"/>
  <c r="BX516" i="22"/>
  <c r="BW516" i="22"/>
  <c r="BV516" i="22"/>
  <c r="BU516" i="22"/>
  <c r="BT516" i="22"/>
  <c r="BS516" i="22"/>
  <c r="BR516" i="22"/>
  <c r="BQ516" i="22"/>
  <c r="BP516" i="22"/>
  <c r="BO516" i="22"/>
  <c r="BN516" i="22"/>
  <c r="BM516" i="22"/>
  <c r="BL516" i="22"/>
  <c r="BK516" i="22"/>
  <c r="BJ516" i="22"/>
  <c r="BI516" i="22"/>
  <c r="BH516" i="22"/>
  <c r="BG516" i="22"/>
  <c r="BF516" i="22"/>
  <c r="BE516" i="22"/>
  <c r="BD516" i="22"/>
  <c r="BC516" i="22"/>
  <c r="BB516" i="22"/>
  <c r="BA516" i="22"/>
  <c r="AZ516" i="22"/>
  <c r="AY516" i="22"/>
  <c r="AX516" i="22"/>
  <c r="AW516" i="22"/>
  <c r="AV516" i="22"/>
  <c r="AU516" i="22"/>
  <c r="AT516" i="22"/>
  <c r="AS516" i="22"/>
  <c r="AR516" i="22"/>
  <c r="AQ516" i="22"/>
  <c r="AP516" i="22"/>
  <c r="AO516" i="22"/>
  <c r="AN516" i="22"/>
  <c r="AM516" i="22"/>
  <c r="AL516" i="22"/>
  <c r="AK516" i="22"/>
  <c r="AJ516" i="22"/>
  <c r="AI516" i="22"/>
  <c r="AH516" i="22"/>
  <c r="AG516" i="22"/>
  <c r="AF516" i="22"/>
  <c r="AE516" i="22"/>
  <c r="AD516" i="22"/>
  <c r="AC516" i="22"/>
  <c r="AB516" i="22"/>
  <c r="AA516" i="22"/>
  <c r="Z516" i="22"/>
  <c r="Y516" i="22"/>
  <c r="X516" i="22"/>
  <c r="W516" i="22"/>
  <c r="V516" i="22"/>
  <c r="U516" i="22"/>
  <c r="T516" i="22"/>
  <c r="S516" i="22"/>
  <c r="R516" i="22"/>
  <c r="Q516" i="22"/>
  <c r="P516" i="22"/>
  <c r="O516" i="22"/>
  <c r="N516" i="22"/>
  <c r="M516" i="22"/>
  <c r="L516" i="22"/>
  <c r="K516" i="22"/>
  <c r="J516" i="22"/>
  <c r="I516" i="22"/>
  <c r="H516" i="22"/>
  <c r="G516" i="22"/>
  <c r="F516" i="22"/>
  <c r="E516" i="22"/>
  <c r="D516" i="22"/>
  <c r="C516" i="22"/>
  <c r="B516" i="22"/>
  <c r="A516" i="22"/>
  <c r="I599" i="22" s="1"/>
  <c r="CB515" i="22"/>
  <c r="CA515" i="22"/>
  <c r="BZ515" i="22"/>
  <c r="BY515" i="22"/>
  <c r="BX515" i="22"/>
  <c r="BW515" i="22"/>
  <c r="BV515" i="22"/>
  <c r="BU515" i="22"/>
  <c r="BT515" i="22"/>
  <c r="BS515" i="22"/>
  <c r="BR515" i="22"/>
  <c r="BQ515" i="22"/>
  <c r="BP515" i="22"/>
  <c r="BO515" i="22"/>
  <c r="BN515" i="22"/>
  <c r="BM515" i="22"/>
  <c r="BL515" i="22"/>
  <c r="BK515" i="22"/>
  <c r="BJ515" i="22"/>
  <c r="BI515" i="22"/>
  <c r="BH515" i="22"/>
  <c r="BG515" i="22"/>
  <c r="BF515" i="22"/>
  <c r="BE515" i="22"/>
  <c r="BD515" i="22"/>
  <c r="BC515" i="22"/>
  <c r="BB515" i="22"/>
  <c r="BA515" i="22"/>
  <c r="AZ515" i="22"/>
  <c r="AY515" i="22"/>
  <c r="AX515" i="22"/>
  <c r="AW515" i="22"/>
  <c r="AV515" i="22"/>
  <c r="AU515" i="22"/>
  <c r="AT515" i="22"/>
  <c r="AS515" i="22"/>
  <c r="AR515" i="22"/>
  <c r="AQ515" i="22"/>
  <c r="AP515" i="22"/>
  <c r="AO515" i="22"/>
  <c r="AN515" i="22"/>
  <c r="AM515" i="22"/>
  <c r="AL515" i="22"/>
  <c r="AK515" i="22"/>
  <c r="AJ515" i="22"/>
  <c r="AI515" i="22"/>
  <c r="AH515" i="22"/>
  <c r="AG515" i="22"/>
  <c r="AF515" i="22"/>
  <c r="AE515" i="22"/>
  <c r="AD515" i="22"/>
  <c r="AC515" i="22"/>
  <c r="AB515" i="22"/>
  <c r="AA515" i="22"/>
  <c r="Z515" i="22"/>
  <c r="Y515" i="22"/>
  <c r="X515" i="22"/>
  <c r="W515" i="22"/>
  <c r="V515" i="22"/>
  <c r="U515" i="22"/>
  <c r="T515" i="22"/>
  <c r="S515" i="22"/>
  <c r="R515" i="22"/>
  <c r="Q515" i="22"/>
  <c r="P515" i="22"/>
  <c r="O515" i="22"/>
  <c r="N515" i="22"/>
  <c r="M515" i="22"/>
  <c r="L515" i="22"/>
  <c r="K515" i="22"/>
  <c r="J515" i="22"/>
  <c r="I515" i="22"/>
  <c r="H515" i="22"/>
  <c r="G515" i="22"/>
  <c r="F515" i="22"/>
  <c r="E515" i="22"/>
  <c r="D515" i="22"/>
  <c r="C515" i="22"/>
  <c r="B515" i="22"/>
  <c r="A515" i="22"/>
  <c r="CB514" i="22"/>
  <c r="CA514" i="22"/>
  <c r="BZ514" i="22"/>
  <c r="BY514" i="22"/>
  <c r="BX514" i="22"/>
  <c r="BW514" i="22"/>
  <c r="BV514" i="22"/>
  <c r="BU514" i="22"/>
  <c r="BT514" i="22"/>
  <c r="BS514" i="22"/>
  <c r="BR514" i="22"/>
  <c r="BQ514" i="22"/>
  <c r="BP514" i="22"/>
  <c r="BO514" i="22"/>
  <c r="BN514" i="22"/>
  <c r="BM514" i="22"/>
  <c r="BL514" i="22"/>
  <c r="BK514" i="22"/>
  <c r="BJ514" i="22"/>
  <c r="BI514" i="22"/>
  <c r="BH514" i="22"/>
  <c r="BG514" i="22"/>
  <c r="BF514" i="22"/>
  <c r="BE514" i="22"/>
  <c r="BD514" i="22"/>
  <c r="BC514" i="22"/>
  <c r="BB514" i="22"/>
  <c r="BA514" i="22"/>
  <c r="AZ514" i="22"/>
  <c r="AY514" i="22"/>
  <c r="AX514" i="22"/>
  <c r="AW514" i="22"/>
  <c r="AV514" i="22"/>
  <c r="AU514" i="22"/>
  <c r="AT514" i="22"/>
  <c r="AS514" i="22"/>
  <c r="AR514" i="22"/>
  <c r="AQ514" i="22"/>
  <c r="AP514" i="22"/>
  <c r="AO514" i="22"/>
  <c r="AN514" i="22"/>
  <c r="AM514" i="22"/>
  <c r="AL514" i="22"/>
  <c r="AK514" i="22"/>
  <c r="AJ514" i="22"/>
  <c r="AI514" i="22"/>
  <c r="AH514" i="22"/>
  <c r="AG514" i="22"/>
  <c r="AF514" i="22"/>
  <c r="AE514" i="22"/>
  <c r="AD514" i="22"/>
  <c r="AC514" i="22"/>
  <c r="AB514" i="22"/>
  <c r="AA514" i="22"/>
  <c r="Z514" i="22"/>
  <c r="Y514" i="22"/>
  <c r="X514" i="22"/>
  <c r="W514" i="22"/>
  <c r="V514" i="22"/>
  <c r="U514" i="22"/>
  <c r="T514" i="22"/>
  <c r="S514" i="22"/>
  <c r="R514" i="22"/>
  <c r="Q514" i="22"/>
  <c r="P514" i="22"/>
  <c r="O514" i="22"/>
  <c r="N514" i="22"/>
  <c r="M514" i="22"/>
  <c r="L514" i="22"/>
  <c r="K514" i="22"/>
  <c r="J514" i="22"/>
  <c r="I514" i="22"/>
  <c r="H514" i="22"/>
  <c r="G514" i="22"/>
  <c r="F514" i="22"/>
  <c r="E514" i="22"/>
  <c r="D514" i="22"/>
  <c r="C514" i="22"/>
  <c r="B514" i="22"/>
  <c r="A514" i="22"/>
  <c r="I597" i="22" s="1"/>
  <c r="CB513" i="22"/>
  <c r="CA513" i="22"/>
  <c r="BZ513" i="22"/>
  <c r="BY513" i="22"/>
  <c r="BX513" i="22"/>
  <c r="BW513" i="22"/>
  <c r="BV513" i="22"/>
  <c r="BU513" i="22"/>
  <c r="BT513" i="22"/>
  <c r="BS513" i="22"/>
  <c r="BR513" i="22"/>
  <c r="BQ513" i="22"/>
  <c r="BP513" i="22"/>
  <c r="BO513" i="22"/>
  <c r="BN513" i="22"/>
  <c r="BM513" i="22"/>
  <c r="BL513" i="22"/>
  <c r="BK513" i="22"/>
  <c r="BJ513" i="22"/>
  <c r="BI513" i="22"/>
  <c r="BH513" i="22"/>
  <c r="BG513" i="22"/>
  <c r="BF513" i="22"/>
  <c r="BE513" i="22"/>
  <c r="BD513" i="22"/>
  <c r="BC513" i="22"/>
  <c r="BB513" i="22"/>
  <c r="BA513" i="22"/>
  <c r="AZ513" i="22"/>
  <c r="AY513" i="22"/>
  <c r="AX513" i="22"/>
  <c r="AW513" i="22"/>
  <c r="AV513" i="22"/>
  <c r="AU513" i="22"/>
  <c r="AT513" i="22"/>
  <c r="AS513" i="22"/>
  <c r="AR513" i="22"/>
  <c r="AQ513" i="22"/>
  <c r="AP513" i="22"/>
  <c r="AO513" i="22"/>
  <c r="AN513" i="22"/>
  <c r="AM513" i="22"/>
  <c r="AL513" i="22"/>
  <c r="AK513" i="22"/>
  <c r="AJ513" i="22"/>
  <c r="AI513" i="22"/>
  <c r="AH513" i="22"/>
  <c r="AG513" i="22"/>
  <c r="AF513" i="22"/>
  <c r="AE513" i="22"/>
  <c r="AD513" i="22"/>
  <c r="AC513" i="22"/>
  <c r="AB513" i="22"/>
  <c r="AA513" i="22"/>
  <c r="Z513" i="22"/>
  <c r="Y513" i="22"/>
  <c r="X513" i="22"/>
  <c r="W513" i="22"/>
  <c r="V513" i="22"/>
  <c r="U513" i="22"/>
  <c r="T513" i="22"/>
  <c r="S513" i="22"/>
  <c r="R513" i="22"/>
  <c r="Q513" i="22"/>
  <c r="P513" i="22"/>
  <c r="O513" i="22"/>
  <c r="N513" i="22"/>
  <c r="M513" i="22"/>
  <c r="L513" i="22"/>
  <c r="K513" i="22"/>
  <c r="J513" i="22"/>
  <c r="I513" i="22"/>
  <c r="H513" i="22"/>
  <c r="G513" i="22"/>
  <c r="F513" i="22"/>
  <c r="E513" i="22"/>
  <c r="D513" i="22"/>
  <c r="C513" i="22"/>
  <c r="B513" i="22"/>
  <c r="A513" i="22"/>
  <c r="I596" i="22" s="1"/>
  <c r="CB512" i="22"/>
  <c r="CA512" i="22"/>
  <c r="BZ512" i="22"/>
  <c r="BY512" i="22"/>
  <c r="BX512" i="22"/>
  <c r="BW512" i="22"/>
  <c r="BV512" i="22"/>
  <c r="BU512" i="22"/>
  <c r="BT512" i="22"/>
  <c r="BS512" i="22"/>
  <c r="BR512" i="22"/>
  <c r="BQ512" i="22"/>
  <c r="BP512" i="22"/>
  <c r="BO512" i="22"/>
  <c r="BN512" i="22"/>
  <c r="BM512" i="22"/>
  <c r="BL512" i="22"/>
  <c r="BK512" i="22"/>
  <c r="BJ512" i="22"/>
  <c r="BI512" i="22"/>
  <c r="BH512" i="22"/>
  <c r="BG512" i="22"/>
  <c r="BF512" i="22"/>
  <c r="BE512" i="22"/>
  <c r="BD512" i="22"/>
  <c r="BC512" i="22"/>
  <c r="BB512" i="22"/>
  <c r="BA512" i="22"/>
  <c r="AZ512" i="22"/>
  <c r="AY512" i="22"/>
  <c r="AX512" i="22"/>
  <c r="AW512" i="22"/>
  <c r="AV512" i="22"/>
  <c r="AU512" i="22"/>
  <c r="AT512" i="22"/>
  <c r="AS512" i="22"/>
  <c r="AR512" i="22"/>
  <c r="AQ512" i="22"/>
  <c r="AP512" i="22"/>
  <c r="AO512" i="22"/>
  <c r="AN512" i="22"/>
  <c r="AM512" i="22"/>
  <c r="AL512" i="22"/>
  <c r="AK512" i="22"/>
  <c r="AJ512" i="22"/>
  <c r="AI512" i="22"/>
  <c r="AH512" i="22"/>
  <c r="AG512" i="22"/>
  <c r="AF512" i="22"/>
  <c r="AE512" i="22"/>
  <c r="AD512" i="22"/>
  <c r="AC512" i="22"/>
  <c r="AB512" i="22"/>
  <c r="AA512" i="22"/>
  <c r="Z512" i="22"/>
  <c r="Y512" i="22"/>
  <c r="X512" i="22"/>
  <c r="W512" i="22"/>
  <c r="V512" i="22"/>
  <c r="U512" i="22"/>
  <c r="T512" i="22"/>
  <c r="S512" i="22"/>
  <c r="R512" i="22"/>
  <c r="Q512" i="22"/>
  <c r="P512" i="22"/>
  <c r="O512" i="22"/>
  <c r="N512" i="22"/>
  <c r="M512" i="22"/>
  <c r="L512" i="22"/>
  <c r="K512" i="22"/>
  <c r="J512" i="22"/>
  <c r="I512" i="22"/>
  <c r="H512" i="22"/>
  <c r="G512" i="22"/>
  <c r="F512" i="22"/>
  <c r="E512" i="22"/>
  <c r="D512" i="22"/>
  <c r="C512" i="22"/>
  <c r="B512" i="22"/>
  <c r="A512" i="22"/>
  <c r="I595" i="22" s="1"/>
  <c r="CB511" i="22"/>
  <c r="CA511" i="22"/>
  <c r="BZ511" i="22"/>
  <c r="BY511" i="22"/>
  <c r="BX511" i="22"/>
  <c r="BW511" i="22"/>
  <c r="BV511" i="22"/>
  <c r="BU511" i="22"/>
  <c r="BT511" i="22"/>
  <c r="BS511" i="22"/>
  <c r="BR511" i="22"/>
  <c r="BQ511" i="22"/>
  <c r="BP511" i="22"/>
  <c r="BO511" i="22"/>
  <c r="BN511" i="22"/>
  <c r="BM511" i="22"/>
  <c r="BL511" i="22"/>
  <c r="BK511" i="22"/>
  <c r="BJ511" i="22"/>
  <c r="BI511" i="22"/>
  <c r="BH511" i="22"/>
  <c r="BG511" i="22"/>
  <c r="BF511" i="22"/>
  <c r="BE511" i="22"/>
  <c r="BD511" i="22"/>
  <c r="BC511" i="22"/>
  <c r="BB511" i="22"/>
  <c r="BA511" i="22"/>
  <c r="AZ511" i="22"/>
  <c r="AY511" i="22"/>
  <c r="AX511" i="22"/>
  <c r="AW511" i="22"/>
  <c r="AV511" i="22"/>
  <c r="AU511" i="22"/>
  <c r="AT511" i="22"/>
  <c r="AS511" i="22"/>
  <c r="AR511" i="22"/>
  <c r="AQ511" i="22"/>
  <c r="AP511" i="22"/>
  <c r="AO511" i="22"/>
  <c r="AN511" i="22"/>
  <c r="AM511" i="22"/>
  <c r="AL511" i="22"/>
  <c r="AK511" i="22"/>
  <c r="AJ511" i="22"/>
  <c r="AI511" i="22"/>
  <c r="AH511" i="22"/>
  <c r="AG511" i="22"/>
  <c r="AF511" i="22"/>
  <c r="AE511" i="22"/>
  <c r="AD511" i="22"/>
  <c r="AC511" i="22"/>
  <c r="AB511" i="22"/>
  <c r="AA511" i="22"/>
  <c r="Z511" i="22"/>
  <c r="Y511" i="22"/>
  <c r="X511" i="22"/>
  <c r="W511" i="22"/>
  <c r="V511" i="22"/>
  <c r="U511" i="22"/>
  <c r="T511" i="22"/>
  <c r="S511" i="22"/>
  <c r="R511" i="22"/>
  <c r="Q511" i="22"/>
  <c r="P511" i="22"/>
  <c r="O511" i="22"/>
  <c r="N511" i="22"/>
  <c r="M511" i="22"/>
  <c r="L511" i="22"/>
  <c r="K511" i="22"/>
  <c r="J511" i="22"/>
  <c r="I511" i="22"/>
  <c r="H511" i="22"/>
  <c r="G511" i="22"/>
  <c r="F511" i="22"/>
  <c r="E511" i="22"/>
  <c r="D511" i="22"/>
  <c r="C511" i="22"/>
  <c r="B511" i="22"/>
  <c r="A511" i="22"/>
  <c r="I594" i="22" s="1"/>
  <c r="CB510" i="22"/>
  <c r="CA510" i="22"/>
  <c r="BZ510" i="22"/>
  <c r="BY510" i="22"/>
  <c r="BX510" i="22"/>
  <c r="BW510" i="22"/>
  <c r="BV510" i="22"/>
  <c r="BU510" i="22"/>
  <c r="BT510" i="22"/>
  <c r="BS510" i="22"/>
  <c r="BR510" i="22"/>
  <c r="BQ510" i="22"/>
  <c r="BP510" i="22"/>
  <c r="BO510" i="22"/>
  <c r="BN510" i="22"/>
  <c r="BM510" i="22"/>
  <c r="BL510" i="22"/>
  <c r="BK510" i="22"/>
  <c r="BJ510" i="22"/>
  <c r="BI510" i="22"/>
  <c r="BH510" i="22"/>
  <c r="BG510" i="22"/>
  <c r="BF510" i="22"/>
  <c r="BE510" i="22"/>
  <c r="BD510" i="22"/>
  <c r="BC510" i="22"/>
  <c r="BB510" i="22"/>
  <c r="BA510" i="22"/>
  <c r="AZ510" i="22"/>
  <c r="AY510" i="22"/>
  <c r="AX510" i="22"/>
  <c r="AW510" i="22"/>
  <c r="AV510" i="22"/>
  <c r="AU510" i="22"/>
  <c r="AT510" i="22"/>
  <c r="AS510" i="22"/>
  <c r="AR510" i="22"/>
  <c r="AQ510" i="22"/>
  <c r="AP510" i="22"/>
  <c r="AO510" i="22"/>
  <c r="AN510" i="22"/>
  <c r="AM510" i="22"/>
  <c r="AL510" i="22"/>
  <c r="AK510" i="22"/>
  <c r="AJ510" i="22"/>
  <c r="AI510" i="22"/>
  <c r="AH510" i="22"/>
  <c r="AG510" i="22"/>
  <c r="AF510" i="22"/>
  <c r="AE510" i="22"/>
  <c r="AD510" i="22"/>
  <c r="AC510" i="22"/>
  <c r="AB510" i="22"/>
  <c r="AA510" i="22"/>
  <c r="Z510" i="22"/>
  <c r="Y510" i="22"/>
  <c r="X510" i="22"/>
  <c r="W510" i="22"/>
  <c r="V510" i="22"/>
  <c r="U510" i="22"/>
  <c r="T510" i="22"/>
  <c r="S510" i="22"/>
  <c r="R510" i="22"/>
  <c r="Q510" i="22"/>
  <c r="P510" i="22"/>
  <c r="O510" i="22"/>
  <c r="N510" i="22"/>
  <c r="M510" i="22"/>
  <c r="L510" i="22"/>
  <c r="K510" i="22"/>
  <c r="J510" i="22"/>
  <c r="I510" i="22"/>
  <c r="H510" i="22"/>
  <c r="G510" i="22"/>
  <c r="F510" i="22"/>
  <c r="E510" i="22"/>
  <c r="D510" i="22"/>
  <c r="C510" i="22"/>
  <c r="B510" i="22"/>
  <c r="A510" i="22"/>
  <c r="I593" i="22" s="1"/>
  <c r="CB509" i="22"/>
  <c r="CA509" i="22"/>
  <c r="BZ509" i="22"/>
  <c r="BY509" i="22"/>
  <c r="BX509" i="22"/>
  <c r="BW509" i="22"/>
  <c r="BV509" i="22"/>
  <c r="BU509" i="22"/>
  <c r="BT509" i="22"/>
  <c r="BS509" i="22"/>
  <c r="BR509" i="22"/>
  <c r="BQ509" i="22"/>
  <c r="BP509" i="22"/>
  <c r="BO509" i="22"/>
  <c r="BN509" i="22"/>
  <c r="BM509" i="22"/>
  <c r="BL509" i="22"/>
  <c r="BK509" i="22"/>
  <c r="BJ509" i="22"/>
  <c r="BI509" i="22"/>
  <c r="BH509" i="22"/>
  <c r="BG509" i="22"/>
  <c r="BF509" i="22"/>
  <c r="BE509" i="22"/>
  <c r="BD509" i="22"/>
  <c r="BC509" i="22"/>
  <c r="BB509" i="22"/>
  <c r="BA509" i="22"/>
  <c r="AZ509" i="22"/>
  <c r="AY509" i="22"/>
  <c r="AX509" i="22"/>
  <c r="AW509" i="22"/>
  <c r="AV509" i="22"/>
  <c r="AU509" i="22"/>
  <c r="AT509" i="22"/>
  <c r="AS509" i="22"/>
  <c r="AR509" i="22"/>
  <c r="AQ509" i="22"/>
  <c r="AP509" i="22"/>
  <c r="AO509" i="22"/>
  <c r="AN509" i="22"/>
  <c r="AM509" i="22"/>
  <c r="AL509" i="22"/>
  <c r="AK509" i="22"/>
  <c r="AJ509" i="22"/>
  <c r="AI509" i="22"/>
  <c r="AH509" i="22"/>
  <c r="AG509" i="22"/>
  <c r="AF509" i="22"/>
  <c r="AE509" i="22"/>
  <c r="AD509" i="22"/>
  <c r="AC509" i="22"/>
  <c r="AB509" i="22"/>
  <c r="AA509" i="22"/>
  <c r="Z509" i="22"/>
  <c r="Y509" i="22"/>
  <c r="X509" i="22"/>
  <c r="W509" i="22"/>
  <c r="V509" i="22"/>
  <c r="U509" i="22"/>
  <c r="T509" i="22"/>
  <c r="S509" i="22"/>
  <c r="R509" i="22"/>
  <c r="Q509" i="22"/>
  <c r="P509" i="22"/>
  <c r="O509" i="22"/>
  <c r="N509" i="22"/>
  <c r="M509" i="22"/>
  <c r="L509" i="22"/>
  <c r="K509" i="22"/>
  <c r="J509" i="22"/>
  <c r="I509" i="22"/>
  <c r="H509" i="22"/>
  <c r="G509" i="22"/>
  <c r="F509" i="22"/>
  <c r="E509" i="22"/>
  <c r="D509" i="22"/>
  <c r="C509" i="22"/>
  <c r="B509" i="22"/>
  <c r="A509" i="22"/>
  <c r="I592" i="22" s="1"/>
  <c r="CB508" i="22"/>
  <c r="CA508" i="22"/>
  <c r="BZ508" i="22"/>
  <c r="BY508" i="22"/>
  <c r="BX508" i="22"/>
  <c r="BW508" i="22"/>
  <c r="BV508" i="22"/>
  <c r="BU508" i="22"/>
  <c r="BT508" i="22"/>
  <c r="BS508" i="22"/>
  <c r="BR508" i="22"/>
  <c r="BQ508" i="22"/>
  <c r="BP508" i="22"/>
  <c r="BO508" i="22"/>
  <c r="BN508" i="22"/>
  <c r="BM508" i="22"/>
  <c r="BL508" i="22"/>
  <c r="BK508" i="22"/>
  <c r="BJ508" i="22"/>
  <c r="BI508" i="22"/>
  <c r="BH508" i="22"/>
  <c r="BG508" i="22"/>
  <c r="BF508" i="22"/>
  <c r="BE508" i="22"/>
  <c r="BD508" i="22"/>
  <c r="BC508" i="22"/>
  <c r="BB508" i="22"/>
  <c r="BA508" i="22"/>
  <c r="AZ508" i="22"/>
  <c r="AY508" i="22"/>
  <c r="AX508" i="22"/>
  <c r="AW508" i="22"/>
  <c r="AV508" i="22"/>
  <c r="AU508" i="22"/>
  <c r="AT508" i="22"/>
  <c r="AS508" i="22"/>
  <c r="AR508" i="22"/>
  <c r="AQ508" i="22"/>
  <c r="AP508" i="22"/>
  <c r="AO508" i="22"/>
  <c r="AN508" i="22"/>
  <c r="AM508" i="22"/>
  <c r="AL508" i="22"/>
  <c r="AK508" i="22"/>
  <c r="AJ508" i="22"/>
  <c r="AI508" i="22"/>
  <c r="AH508" i="22"/>
  <c r="AG508" i="22"/>
  <c r="AF508" i="22"/>
  <c r="AE508" i="22"/>
  <c r="AD508" i="22"/>
  <c r="AC508" i="22"/>
  <c r="AB508" i="22"/>
  <c r="AA508" i="22"/>
  <c r="Z508" i="22"/>
  <c r="Y508" i="22"/>
  <c r="X508" i="22"/>
  <c r="W508" i="22"/>
  <c r="V508" i="22"/>
  <c r="U508" i="22"/>
  <c r="T508" i="22"/>
  <c r="S508" i="22"/>
  <c r="R508" i="22"/>
  <c r="Q508" i="22"/>
  <c r="P508" i="22"/>
  <c r="O508" i="22"/>
  <c r="N508" i="22"/>
  <c r="M508" i="22"/>
  <c r="L508" i="22"/>
  <c r="K508" i="22"/>
  <c r="J508" i="22"/>
  <c r="I508" i="22"/>
  <c r="H508" i="22"/>
  <c r="G508" i="22"/>
  <c r="F508" i="22"/>
  <c r="E508" i="22"/>
  <c r="D508" i="22"/>
  <c r="C508" i="22"/>
  <c r="B508" i="22"/>
  <c r="A508" i="22"/>
  <c r="I591" i="22" s="1"/>
  <c r="CB507" i="22"/>
  <c r="CA507" i="22"/>
  <c r="BZ507" i="22"/>
  <c r="BY507" i="22"/>
  <c r="BX507" i="22"/>
  <c r="BW507" i="22"/>
  <c r="BV507" i="22"/>
  <c r="BU507" i="22"/>
  <c r="BT507" i="22"/>
  <c r="BS507" i="22"/>
  <c r="BR507" i="22"/>
  <c r="BQ507" i="22"/>
  <c r="BP507" i="22"/>
  <c r="BO507" i="22"/>
  <c r="BN507" i="22"/>
  <c r="BM507" i="22"/>
  <c r="BL507" i="22"/>
  <c r="BK507" i="22"/>
  <c r="BJ507" i="22"/>
  <c r="BI507" i="22"/>
  <c r="BH507" i="22"/>
  <c r="BG507" i="22"/>
  <c r="BF507" i="22"/>
  <c r="BE507" i="22"/>
  <c r="BD507" i="22"/>
  <c r="BC507" i="22"/>
  <c r="BB507" i="22"/>
  <c r="BA507" i="22"/>
  <c r="AZ507" i="22"/>
  <c r="AY507" i="22"/>
  <c r="AX507" i="22"/>
  <c r="AW507" i="22"/>
  <c r="AV507" i="22"/>
  <c r="AU507" i="22"/>
  <c r="AT507" i="22"/>
  <c r="AS507" i="22"/>
  <c r="AR507" i="22"/>
  <c r="AQ507" i="22"/>
  <c r="AP507" i="22"/>
  <c r="AO507" i="22"/>
  <c r="AN507" i="22"/>
  <c r="AM507" i="22"/>
  <c r="AL507" i="22"/>
  <c r="AK507" i="22"/>
  <c r="AJ507" i="22"/>
  <c r="AI507" i="22"/>
  <c r="AH507" i="22"/>
  <c r="AG507" i="22"/>
  <c r="AF507" i="22"/>
  <c r="AE507" i="22"/>
  <c r="AD507" i="22"/>
  <c r="AC507" i="22"/>
  <c r="AB507" i="22"/>
  <c r="AA507" i="22"/>
  <c r="Z507" i="22"/>
  <c r="Y507" i="22"/>
  <c r="X507" i="22"/>
  <c r="W507" i="22"/>
  <c r="V507" i="22"/>
  <c r="U507" i="22"/>
  <c r="T507" i="22"/>
  <c r="S507" i="22"/>
  <c r="R507" i="22"/>
  <c r="Q507" i="22"/>
  <c r="P507" i="22"/>
  <c r="O507" i="22"/>
  <c r="N507" i="22"/>
  <c r="M507" i="22"/>
  <c r="L507" i="22"/>
  <c r="K507" i="22"/>
  <c r="J507" i="22"/>
  <c r="I507" i="22"/>
  <c r="H507" i="22"/>
  <c r="G507" i="22"/>
  <c r="F507" i="22"/>
  <c r="E507" i="22"/>
  <c r="D507" i="22"/>
  <c r="C507" i="22"/>
  <c r="B507" i="22"/>
  <c r="A507" i="22"/>
  <c r="I590" i="22" s="1"/>
  <c r="CB506" i="22"/>
  <c r="CA506" i="22"/>
  <c r="BZ506" i="22"/>
  <c r="BY506" i="22"/>
  <c r="BX506" i="22"/>
  <c r="BW506" i="22"/>
  <c r="BV506" i="22"/>
  <c r="BU506" i="22"/>
  <c r="BT506" i="22"/>
  <c r="BS506" i="22"/>
  <c r="BR506" i="22"/>
  <c r="BQ506" i="22"/>
  <c r="BP506" i="22"/>
  <c r="BO506" i="22"/>
  <c r="BN506" i="22"/>
  <c r="BM506" i="22"/>
  <c r="BL506" i="22"/>
  <c r="BK506" i="22"/>
  <c r="BJ506" i="22"/>
  <c r="BI506" i="22"/>
  <c r="BH506" i="22"/>
  <c r="BG506" i="22"/>
  <c r="BF506" i="22"/>
  <c r="BE506" i="22"/>
  <c r="BD506" i="22"/>
  <c r="BC506" i="22"/>
  <c r="BB506" i="22"/>
  <c r="BA506" i="22"/>
  <c r="AZ506" i="22"/>
  <c r="AY506" i="22"/>
  <c r="AX506" i="22"/>
  <c r="AW506" i="22"/>
  <c r="AV506" i="22"/>
  <c r="AU506" i="22"/>
  <c r="AT506" i="22"/>
  <c r="AS506" i="22"/>
  <c r="AR506" i="22"/>
  <c r="AQ506" i="22"/>
  <c r="AP506" i="22"/>
  <c r="AO506" i="22"/>
  <c r="AN506" i="22"/>
  <c r="AM506" i="22"/>
  <c r="AL506" i="22"/>
  <c r="AK506" i="22"/>
  <c r="AJ506" i="22"/>
  <c r="AI506" i="22"/>
  <c r="AH506" i="22"/>
  <c r="AG506" i="22"/>
  <c r="AF506" i="22"/>
  <c r="AE506" i="22"/>
  <c r="AD506" i="22"/>
  <c r="AC506" i="22"/>
  <c r="AB506" i="22"/>
  <c r="AA506" i="22"/>
  <c r="Z506" i="22"/>
  <c r="Y506" i="22"/>
  <c r="X506" i="22"/>
  <c r="W506" i="22"/>
  <c r="V506" i="22"/>
  <c r="U506" i="22"/>
  <c r="T506" i="22"/>
  <c r="S506" i="22"/>
  <c r="R506" i="22"/>
  <c r="Q506" i="22"/>
  <c r="P506" i="22"/>
  <c r="O506" i="22"/>
  <c r="N506" i="22"/>
  <c r="M506" i="22"/>
  <c r="L506" i="22"/>
  <c r="K506" i="22"/>
  <c r="J506" i="22"/>
  <c r="I506" i="22"/>
  <c r="H506" i="22"/>
  <c r="G506" i="22"/>
  <c r="F506" i="22"/>
  <c r="E506" i="22"/>
  <c r="D506" i="22"/>
  <c r="C506" i="22"/>
  <c r="B506" i="22"/>
  <c r="A506" i="22"/>
  <c r="I589" i="22" s="1"/>
  <c r="CB505" i="22"/>
  <c r="CA505" i="22"/>
  <c r="BZ505" i="22"/>
  <c r="BY505" i="22"/>
  <c r="BX505" i="22"/>
  <c r="BW505" i="22"/>
  <c r="BV505" i="22"/>
  <c r="BU505" i="22"/>
  <c r="BT505" i="22"/>
  <c r="BS505" i="22"/>
  <c r="BR505" i="22"/>
  <c r="BQ505" i="22"/>
  <c r="BP505" i="22"/>
  <c r="BO505" i="22"/>
  <c r="BN505" i="22"/>
  <c r="BM505" i="22"/>
  <c r="BL505" i="22"/>
  <c r="BK505" i="22"/>
  <c r="BJ505" i="22"/>
  <c r="BI505" i="22"/>
  <c r="BH505" i="22"/>
  <c r="BG505" i="22"/>
  <c r="BF505" i="22"/>
  <c r="BE505" i="22"/>
  <c r="BD505" i="22"/>
  <c r="BC505" i="22"/>
  <c r="BB505" i="22"/>
  <c r="BA505" i="22"/>
  <c r="AZ505" i="22"/>
  <c r="AY505" i="22"/>
  <c r="AX505" i="22"/>
  <c r="AW505" i="22"/>
  <c r="AV505" i="22"/>
  <c r="AU505" i="22"/>
  <c r="AT505" i="22"/>
  <c r="AS505" i="22"/>
  <c r="AR505" i="22"/>
  <c r="AQ505" i="22"/>
  <c r="AP505" i="22"/>
  <c r="AO505" i="22"/>
  <c r="AN505" i="22"/>
  <c r="AM505" i="22"/>
  <c r="AL505" i="22"/>
  <c r="AK505" i="22"/>
  <c r="AJ505" i="22"/>
  <c r="AI505" i="22"/>
  <c r="AH505" i="22"/>
  <c r="AG505" i="22"/>
  <c r="AF505" i="22"/>
  <c r="AE505" i="22"/>
  <c r="AD505" i="22"/>
  <c r="AC505" i="22"/>
  <c r="AB505" i="22"/>
  <c r="AA505" i="22"/>
  <c r="Z505" i="22"/>
  <c r="Y505" i="22"/>
  <c r="X505" i="22"/>
  <c r="W505" i="22"/>
  <c r="V505" i="22"/>
  <c r="U505" i="22"/>
  <c r="T505" i="22"/>
  <c r="S505" i="22"/>
  <c r="R505" i="22"/>
  <c r="Q505" i="22"/>
  <c r="P505" i="22"/>
  <c r="O505" i="22"/>
  <c r="N505" i="22"/>
  <c r="M505" i="22"/>
  <c r="L505" i="22"/>
  <c r="K505" i="22"/>
  <c r="J505" i="22"/>
  <c r="I505" i="22"/>
  <c r="H505" i="22"/>
  <c r="G505" i="22"/>
  <c r="F505" i="22"/>
  <c r="E505" i="22"/>
  <c r="D505" i="22"/>
  <c r="C505" i="22"/>
  <c r="B505" i="22"/>
  <c r="A505" i="22"/>
  <c r="I588" i="22" s="1"/>
  <c r="CB504" i="22"/>
  <c r="CA504" i="22"/>
  <c r="BZ504" i="22"/>
  <c r="BY504" i="22"/>
  <c r="BX504" i="22"/>
  <c r="BW504" i="22"/>
  <c r="BV504" i="22"/>
  <c r="BU504" i="22"/>
  <c r="BT504" i="22"/>
  <c r="BS504" i="22"/>
  <c r="BR504" i="22"/>
  <c r="BQ504" i="22"/>
  <c r="BP504" i="22"/>
  <c r="BO504" i="22"/>
  <c r="BN504" i="22"/>
  <c r="BM504" i="22"/>
  <c r="BL504" i="22"/>
  <c r="BK504" i="22"/>
  <c r="BJ504" i="22"/>
  <c r="BI504" i="22"/>
  <c r="BH504" i="22"/>
  <c r="BG504" i="22"/>
  <c r="BF504" i="22"/>
  <c r="BE504" i="22"/>
  <c r="BD504" i="22"/>
  <c r="BC504" i="22"/>
  <c r="BB504" i="22"/>
  <c r="BA504" i="22"/>
  <c r="AZ504" i="22"/>
  <c r="AY504" i="22"/>
  <c r="AX504" i="22"/>
  <c r="AW504" i="22"/>
  <c r="AV504" i="22"/>
  <c r="AU504" i="22"/>
  <c r="AT504" i="22"/>
  <c r="AS504" i="22"/>
  <c r="AR504" i="22"/>
  <c r="AQ504" i="22"/>
  <c r="AP504" i="22"/>
  <c r="AO504" i="22"/>
  <c r="AN504" i="22"/>
  <c r="AM504" i="22"/>
  <c r="AL504" i="22"/>
  <c r="AK504" i="22"/>
  <c r="AJ504" i="22"/>
  <c r="AI504" i="22"/>
  <c r="AH504" i="22"/>
  <c r="AG504" i="22"/>
  <c r="AF504" i="22"/>
  <c r="AE504" i="22"/>
  <c r="AD504" i="22"/>
  <c r="AC504" i="22"/>
  <c r="AB504" i="22"/>
  <c r="AA504" i="22"/>
  <c r="Z504" i="22"/>
  <c r="Y504" i="22"/>
  <c r="X504" i="22"/>
  <c r="W504" i="22"/>
  <c r="V504" i="22"/>
  <c r="U504" i="22"/>
  <c r="T504" i="22"/>
  <c r="S504" i="22"/>
  <c r="R504" i="22"/>
  <c r="Q504" i="22"/>
  <c r="P504" i="22"/>
  <c r="O504" i="22"/>
  <c r="N504" i="22"/>
  <c r="M504" i="22"/>
  <c r="L504" i="22"/>
  <c r="K504" i="22"/>
  <c r="J504" i="22"/>
  <c r="I504" i="22"/>
  <c r="H504" i="22"/>
  <c r="G504" i="22"/>
  <c r="F504" i="22"/>
  <c r="E504" i="22"/>
  <c r="D504" i="22"/>
  <c r="C504" i="22"/>
  <c r="B504" i="22"/>
  <c r="A504" i="22"/>
  <c r="I587" i="22" s="1"/>
  <c r="CB503" i="22"/>
  <c r="CA503" i="22"/>
  <c r="BZ503" i="22"/>
  <c r="BY503" i="22"/>
  <c r="BX503" i="22"/>
  <c r="BW503" i="22"/>
  <c r="BV503" i="22"/>
  <c r="BU503" i="22"/>
  <c r="BT503" i="22"/>
  <c r="BS503" i="22"/>
  <c r="BR503" i="22"/>
  <c r="BQ503" i="22"/>
  <c r="BP503" i="22"/>
  <c r="BO503" i="22"/>
  <c r="BN503" i="22"/>
  <c r="BM503" i="22"/>
  <c r="BL503" i="22"/>
  <c r="BK503" i="22"/>
  <c r="BJ503" i="22"/>
  <c r="BI503" i="22"/>
  <c r="BH503" i="22"/>
  <c r="BG503" i="22"/>
  <c r="BF503" i="22"/>
  <c r="BE503" i="22"/>
  <c r="BD503" i="22"/>
  <c r="BC503" i="22"/>
  <c r="BB503" i="22"/>
  <c r="BA503" i="22"/>
  <c r="AZ503" i="22"/>
  <c r="AY503" i="22"/>
  <c r="AX503" i="22"/>
  <c r="AW503" i="22"/>
  <c r="AV503" i="22"/>
  <c r="AU503" i="22"/>
  <c r="AT503" i="22"/>
  <c r="AS503" i="22"/>
  <c r="AR503" i="22"/>
  <c r="AQ503" i="22"/>
  <c r="AP503" i="22"/>
  <c r="AO503" i="22"/>
  <c r="AN503" i="22"/>
  <c r="AM503" i="22"/>
  <c r="AL503" i="22"/>
  <c r="AK503" i="22"/>
  <c r="AJ503" i="22"/>
  <c r="AI503" i="22"/>
  <c r="AH503" i="22"/>
  <c r="AG503" i="22"/>
  <c r="AF503" i="22"/>
  <c r="AE503" i="22"/>
  <c r="AD503" i="22"/>
  <c r="AC503" i="22"/>
  <c r="AB503" i="22"/>
  <c r="AA503" i="22"/>
  <c r="Z503" i="22"/>
  <c r="Y503" i="22"/>
  <c r="X503" i="22"/>
  <c r="W503" i="22"/>
  <c r="V503" i="22"/>
  <c r="U503" i="22"/>
  <c r="T503" i="22"/>
  <c r="S503" i="22"/>
  <c r="R503" i="22"/>
  <c r="Q503" i="22"/>
  <c r="P503" i="22"/>
  <c r="O503" i="22"/>
  <c r="N503" i="22"/>
  <c r="M503" i="22"/>
  <c r="L503" i="22"/>
  <c r="K503" i="22"/>
  <c r="J503" i="22"/>
  <c r="I503" i="22"/>
  <c r="H503" i="22"/>
  <c r="G503" i="22"/>
  <c r="F503" i="22"/>
  <c r="E503" i="22"/>
  <c r="D503" i="22"/>
  <c r="C503" i="22"/>
  <c r="B503" i="22"/>
  <c r="I639" i="22" l="1"/>
  <c r="J665" i="22"/>
  <c r="J664" i="22"/>
  <c r="J663" i="22"/>
  <c r="J662" i="22"/>
  <c r="J661" i="22"/>
  <c r="J660" i="22"/>
  <c r="J659" i="22"/>
  <c r="J658" i="22"/>
  <c r="J657" i="22"/>
  <c r="J656" i="22"/>
  <c r="J655" i="22"/>
  <c r="J654" i="22"/>
  <c r="J653" i="22"/>
  <c r="J652" i="22"/>
  <c r="J651" i="22"/>
  <c r="J650" i="22"/>
  <c r="J649" i="22"/>
  <c r="J648" i="22"/>
  <c r="J647" i="22"/>
  <c r="J646" i="22"/>
  <c r="J645" i="22"/>
  <c r="J644" i="22"/>
  <c r="J643" i="22"/>
  <c r="J642" i="22"/>
  <c r="J641" i="22"/>
  <c r="J640" i="22"/>
  <c r="J639" i="22"/>
  <c r="J638" i="22"/>
  <c r="J637" i="22"/>
  <c r="J636" i="22"/>
  <c r="J635" i="22"/>
  <c r="J634" i="22"/>
  <c r="J633" i="22"/>
  <c r="J632" i="22"/>
  <c r="J631" i="22"/>
  <c r="J630" i="22"/>
  <c r="J629" i="22"/>
  <c r="J628" i="22"/>
  <c r="J627" i="22"/>
  <c r="J626" i="22"/>
  <c r="J625" i="22"/>
  <c r="J624" i="22"/>
  <c r="J623" i="22"/>
  <c r="J622" i="22"/>
  <c r="J621" i="22"/>
  <c r="J620" i="22"/>
  <c r="J619" i="22"/>
  <c r="J618" i="22"/>
  <c r="J617" i="22"/>
  <c r="J616" i="22"/>
  <c r="J615" i="22"/>
  <c r="J614" i="22"/>
  <c r="J613" i="22"/>
  <c r="J612" i="22"/>
  <c r="J611" i="22"/>
  <c r="J610" i="22"/>
  <c r="J609" i="22"/>
  <c r="J608" i="22"/>
  <c r="J607" i="22"/>
  <c r="J606" i="22"/>
  <c r="J605" i="22"/>
  <c r="J604" i="22"/>
  <c r="J603" i="22"/>
  <c r="J602" i="22"/>
  <c r="J601" i="22"/>
  <c r="J600" i="22"/>
  <c r="J599" i="22"/>
  <c r="J598" i="22"/>
  <c r="J597" i="22"/>
  <c r="J596" i="22"/>
  <c r="J595" i="22"/>
  <c r="J594" i="22"/>
  <c r="J593" i="22"/>
  <c r="J592" i="22"/>
  <c r="J591" i="22"/>
  <c r="J590" i="22"/>
  <c r="J589" i="22"/>
  <c r="J588" i="22"/>
  <c r="J587" i="22"/>
  <c r="BY327" i="22"/>
  <c r="BN334" i="22"/>
  <c r="BO334" i="22"/>
  <c r="BP334" i="22"/>
  <c r="BQ334" i="22"/>
  <c r="BR334" i="22"/>
  <c r="BS334" i="22"/>
  <c r="BT334" i="22"/>
  <c r="BU334" i="22"/>
  <c r="BV334" i="22"/>
  <c r="BW334" i="22"/>
  <c r="BX334" i="22"/>
  <c r="BY334" i="22"/>
  <c r="BZ334" i="22"/>
  <c r="CA334" i="22"/>
  <c r="CB334" i="22"/>
  <c r="A335" i="22"/>
  <c r="E664" i="22" s="1"/>
  <c r="B335" i="22"/>
  <c r="C335" i="22"/>
  <c r="D335" i="22"/>
  <c r="E335" i="22"/>
  <c r="F335" i="22"/>
  <c r="G335" i="22"/>
  <c r="H335" i="22"/>
  <c r="I335" i="22"/>
  <c r="J335" i="22"/>
  <c r="K335" i="22"/>
  <c r="L335" i="22"/>
  <c r="M335" i="22"/>
  <c r="N335" i="22"/>
  <c r="O335" i="22"/>
  <c r="P335" i="22"/>
  <c r="Q335" i="22"/>
  <c r="R335" i="22"/>
  <c r="S335" i="22"/>
  <c r="T335" i="22"/>
  <c r="U335" i="22"/>
  <c r="V335" i="22"/>
  <c r="W335" i="22"/>
  <c r="X335" i="22"/>
  <c r="Y335" i="22"/>
  <c r="Z335" i="22"/>
  <c r="AA335" i="22"/>
  <c r="AB335" i="22"/>
  <c r="AC335" i="22"/>
  <c r="AD335" i="22"/>
  <c r="AE335" i="22"/>
  <c r="AF335" i="22"/>
  <c r="AG335" i="22"/>
  <c r="AH335" i="22"/>
  <c r="AI335" i="22"/>
  <c r="AJ335" i="22"/>
  <c r="AK335" i="22"/>
  <c r="AL335" i="22"/>
  <c r="AM335" i="22"/>
  <c r="AN335" i="22"/>
  <c r="AO335" i="22"/>
  <c r="AP335" i="22"/>
  <c r="AQ335" i="22"/>
  <c r="AR335" i="22"/>
  <c r="AS335" i="22"/>
  <c r="AT335" i="22"/>
  <c r="AU335" i="22"/>
  <c r="AV335" i="22"/>
  <c r="AW335" i="22"/>
  <c r="AX335" i="22"/>
  <c r="AY335" i="22"/>
  <c r="AZ335" i="22"/>
  <c r="BA335" i="22"/>
  <c r="BB335" i="22"/>
  <c r="BC335" i="22"/>
  <c r="BD335" i="22"/>
  <c r="BE335" i="22"/>
  <c r="BF335" i="22"/>
  <c r="BG335" i="22"/>
  <c r="BH335" i="22"/>
  <c r="BI335" i="22"/>
  <c r="BJ335" i="22"/>
  <c r="BK335" i="22"/>
  <c r="BL335" i="22"/>
  <c r="BM335" i="22"/>
  <c r="BN335" i="22"/>
  <c r="BO335" i="22"/>
  <c r="BP335" i="22"/>
  <c r="BQ335" i="22"/>
  <c r="BR335" i="22"/>
  <c r="BS335" i="22"/>
  <c r="BT335" i="22"/>
  <c r="BU335" i="22"/>
  <c r="BV335" i="22"/>
  <c r="BW335" i="22"/>
  <c r="BX335" i="22"/>
  <c r="BY335" i="22"/>
  <c r="BZ335" i="22"/>
  <c r="CA335" i="22"/>
  <c r="CB335" i="22"/>
  <c r="A336" i="22"/>
  <c r="E665" i="22" s="1"/>
  <c r="B336" i="22"/>
  <c r="C336" i="22"/>
  <c r="D336" i="22"/>
  <c r="E336" i="22"/>
  <c r="F336" i="22"/>
  <c r="G336" i="22"/>
  <c r="H336" i="22"/>
  <c r="I336" i="22"/>
  <c r="J336" i="22"/>
  <c r="K336" i="22"/>
  <c r="L336" i="22"/>
  <c r="M336" i="22"/>
  <c r="N336" i="22"/>
  <c r="O336" i="22"/>
  <c r="P336" i="22"/>
  <c r="Q336" i="22"/>
  <c r="R336" i="22"/>
  <c r="S336" i="22"/>
  <c r="T336" i="22"/>
  <c r="U336" i="22"/>
  <c r="V336" i="22"/>
  <c r="W336" i="22"/>
  <c r="X336" i="22"/>
  <c r="Y336" i="22"/>
  <c r="Z336" i="22"/>
  <c r="AA336" i="22"/>
  <c r="AB336" i="22"/>
  <c r="AC336" i="22"/>
  <c r="AD336" i="22"/>
  <c r="AE336" i="22"/>
  <c r="AF336" i="22"/>
  <c r="AG336" i="22"/>
  <c r="AH336" i="22"/>
  <c r="AI336" i="22"/>
  <c r="AJ336" i="22"/>
  <c r="AK336" i="22"/>
  <c r="AL336" i="22"/>
  <c r="AM336" i="22"/>
  <c r="AN336" i="22"/>
  <c r="AO336" i="22"/>
  <c r="AP336" i="22"/>
  <c r="AQ336" i="22"/>
  <c r="AR336" i="22"/>
  <c r="AS336" i="22"/>
  <c r="AT336" i="22"/>
  <c r="AU336" i="22"/>
  <c r="AV336" i="22"/>
  <c r="AW336" i="22"/>
  <c r="AX336" i="22"/>
  <c r="AY336" i="22"/>
  <c r="AZ336" i="22"/>
  <c r="BA336" i="22"/>
  <c r="BB336" i="22"/>
  <c r="BC336" i="22"/>
  <c r="BD336" i="22"/>
  <c r="BE336" i="22"/>
  <c r="BF336" i="22"/>
  <c r="BG336" i="22"/>
  <c r="BH336" i="22"/>
  <c r="BI336" i="22"/>
  <c r="BJ336" i="22"/>
  <c r="BK336" i="22"/>
  <c r="BL336" i="22"/>
  <c r="BM336" i="22"/>
  <c r="BN336" i="22"/>
  <c r="BO336" i="22"/>
  <c r="BP336" i="22"/>
  <c r="BQ336" i="22"/>
  <c r="BR336" i="22"/>
  <c r="BS336" i="22"/>
  <c r="BT336" i="22"/>
  <c r="BU336" i="22"/>
  <c r="BV336" i="22"/>
  <c r="BW336" i="22"/>
  <c r="BX336" i="22"/>
  <c r="BY336" i="22"/>
  <c r="BZ336" i="22"/>
  <c r="CA336" i="22"/>
  <c r="CB336" i="22"/>
  <c r="Q313" i="22"/>
  <c r="R313" i="22"/>
  <c r="S313" i="22"/>
  <c r="T313" i="22"/>
  <c r="U313" i="22"/>
  <c r="V313" i="22"/>
  <c r="W313" i="22"/>
  <c r="X313" i="22"/>
  <c r="Y313" i="22"/>
  <c r="Z313" i="22"/>
  <c r="AA313" i="22"/>
  <c r="AB313" i="22"/>
  <c r="AC313" i="22"/>
  <c r="AD313" i="22"/>
  <c r="AE313" i="22"/>
  <c r="AF313" i="22"/>
  <c r="AG313" i="22"/>
  <c r="AH313" i="22"/>
  <c r="AI313" i="22"/>
  <c r="AJ313" i="22"/>
  <c r="AK313" i="22"/>
  <c r="AL313" i="22"/>
  <c r="AM313" i="22"/>
  <c r="AN313" i="22"/>
  <c r="AO313" i="22"/>
  <c r="AP313" i="22"/>
  <c r="AQ313" i="22"/>
  <c r="AR313" i="22"/>
  <c r="AS313" i="22"/>
  <c r="AT313" i="22"/>
  <c r="AU313" i="22"/>
  <c r="AV313" i="22"/>
  <c r="AW313" i="22"/>
  <c r="AX313" i="22"/>
  <c r="AY313" i="22"/>
  <c r="AZ313" i="22"/>
  <c r="BA313" i="22"/>
  <c r="BB313" i="22"/>
  <c r="BC313" i="22"/>
  <c r="BD313" i="22"/>
  <c r="BE313" i="22"/>
  <c r="BF313" i="22"/>
  <c r="BG313" i="22"/>
  <c r="BH313" i="22"/>
  <c r="BI313" i="22"/>
  <c r="BJ313" i="22"/>
  <c r="BK313" i="22"/>
  <c r="BL313" i="22"/>
  <c r="BM313" i="22"/>
  <c r="BN313" i="22"/>
  <c r="BO313" i="22"/>
  <c r="BP313" i="22"/>
  <c r="BQ313" i="22"/>
  <c r="BR313" i="22"/>
  <c r="BS313" i="22"/>
  <c r="BT313" i="22"/>
  <c r="BU313" i="22"/>
  <c r="BV313" i="22"/>
  <c r="BW313" i="22"/>
  <c r="BX313" i="22"/>
  <c r="BY313" i="22"/>
  <c r="BZ313" i="22"/>
  <c r="CA313" i="22"/>
  <c r="CB313" i="22"/>
  <c r="A314" i="22"/>
  <c r="E643" i="22" s="1"/>
  <c r="B314" i="22"/>
  <c r="C314" i="22"/>
  <c r="D314" i="22"/>
  <c r="E314" i="22"/>
  <c r="F314" i="22"/>
  <c r="G314" i="22"/>
  <c r="H314" i="22"/>
  <c r="I314" i="22"/>
  <c r="J314" i="22"/>
  <c r="K314" i="22"/>
  <c r="L314" i="22"/>
  <c r="M314" i="22"/>
  <c r="N314" i="22"/>
  <c r="O314" i="22"/>
  <c r="P314" i="22"/>
  <c r="Q314" i="22"/>
  <c r="R314" i="22"/>
  <c r="S314" i="22"/>
  <c r="T314" i="22"/>
  <c r="U314" i="22"/>
  <c r="V314" i="22"/>
  <c r="W314" i="22"/>
  <c r="X314" i="22"/>
  <c r="Y314" i="22"/>
  <c r="Z314" i="22"/>
  <c r="AA314" i="22"/>
  <c r="AB314" i="22"/>
  <c r="AC314" i="22"/>
  <c r="AD314" i="22"/>
  <c r="AE314" i="22"/>
  <c r="AF314" i="22"/>
  <c r="AG314" i="22"/>
  <c r="AH314" i="22"/>
  <c r="AI314" i="22"/>
  <c r="AJ314" i="22"/>
  <c r="AK314" i="22"/>
  <c r="AL314" i="22"/>
  <c r="AM314" i="22"/>
  <c r="AN314" i="22"/>
  <c r="AO314" i="22"/>
  <c r="AP314" i="22"/>
  <c r="AQ314" i="22"/>
  <c r="AR314" i="22"/>
  <c r="AS314" i="22"/>
  <c r="AT314" i="22"/>
  <c r="AU314" i="22"/>
  <c r="AV314" i="22"/>
  <c r="AW314" i="22"/>
  <c r="AX314" i="22"/>
  <c r="AY314" i="22"/>
  <c r="AZ314" i="22"/>
  <c r="BA314" i="22"/>
  <c r="BB314" i="22"/>
  <c r="BC314" i="22"/>
  <c r="BD314" i="22"/>
  <c r="BE314" i="22"/>
  <c r="BF314" i="22"/>
  <c r="BG314" i="22"/>
  <c r="BH314" i="22"/>
  <c r="BI314" i="22"/>
  <c r="BJ314" i="22"/>
  <c r="BK314" i="22"/>
  <c r="BL314" i="22"/>
  <c r="BM314" i="22"/>
  <c r="BN314" i="22"/>
  <c r="BO314" i="22"/>
  <c r="BP314" i="22"/>
  <c r="BQ314" i="22"/>
  <c r="BR314" i="22"/>
  <c r="BS314" i="22"/>
  <c r="BT314" i="22"/>
  <c r="BU314" i="22"/>
  <c r="BV314" i="22"/>
  <c r="BW314" i="22"/>
  <c r="BX314" i="22"/>
  <c r="BY314" i="22"/>
  <c r="BZ314" i="22"/>
  <c r="CA314" i="22"/>
  <c r="CB314" i="22"/>
  <c r="A315" i="22"/>
  <c r="E644" i="22" s="1"/>
  <c r="B315" i="22"/>
  <c r="C315" i="22"/>
  <c r="D315" i="22"/>
  <c r="E315" i="22"/>
  <c r="F315" i="22"/>
  <c r="G315" i="22"/>
  <c r="H315" i="22"/>
  <c r="I315" i="22"/>
  <c r="J315" i="22"/>
  <c r="K315" i="22"/>
  <c r="L315" i="22"/>
  <c r="M315" i="22"/>
  <c r="N315" i="22"/>
  <c r="O315" i="22"/>
  <c r="P315" i="22"/>
  <c r="Q315" i="22"/>
  <c r="R315" i="22"/>
  <c r="S315" i="22"/>
  <c r="T315" i="22"/>
  <c r="U315" i="22"/>
  <c r="V315" i="22"/>
  <c r="W315" i="22"/>
  <c r="X315" i="22"/>
  <c r="Y315" i="22"/>
  <c r="Z315" i="22"/>
  <c r="AA315" i="22"/>
  <c r="AB315" i="22"/>
  <c r="AC315" i="22"/>
  <c r="AD315" i="22"/>
  <c r="AE315" i="22"/>
  <c r="AF315" i="22"/>
  <c r="AG315" i="22"/>
  <c r="AH315" i="22"/>
  <c r="AI315" i="22"/>
  <c r="AJ315" i="22"/>
  <c r="AK315" i="22"/>
  <c r="AL315" i="22"/>
  <c r="AM315" i="22"/>
  <c r="AN315" i="22"/>
  <c r="AO315" i="22"/>
  <c r="AP315" i="22"/>
  <c r="AQ315" i="22"/>
  <c r="AR315" i="22"/>
  <c r="AS315" i="22"/>
  <c r="AT315" i="22"/>
  <c r="AU315" i="22"/>
  <c r="AV315" i="22"/>
  <c r="AW315" i="22"/>
  <c r="AX315" i="22"/>
  <c r="AY315" i="22"/>
  <c r="AZ315" i="22"/>
  <c r="BA315" i="22"/>
  <c r="BB315" i="22"/>
  <c r="BC315" i="22"/>
  <c r="BD315" i="22"/>
  <c r="BE315" i="22"/>
  <c r="BF315" i="22"/>
  <c r="BG315" i="22"/>
  <c r="BH315" i="22"/>
  <c r="BI315" i="22"/>
  <c r="BJ315" i="22"/>
  <c r="BK315" i="22"/>
  <c r="BL315" i="22"/>
  <c r="BM315" i="22"/>
  <c r="BN315" i="22"/>
  <c r="BO315" i="22"/>
  <c r="BP315" i="22"/>
  <c r="BQ315" i="22"/>
  <c r="BR315" i="22"/>
  <c r="BS315" i="22"/>
  <c r="BT315" i="22"/>
  <c r="BU315" i="22"/>
  <c r="BV315" i="22"/>
  <c r="BW315" i="22"/>
  <c r="BX315" i="22"/>
  <c r="BY315" i="22"/>
  <c r="BZ315" i="22"/>
  <c r="CA315" i="22"/>
  <c r="CB315" i="22"/>
  <c r="A316" i="22"/>
  <c r="E645" i="22" s="1"/>
  <c r="B316" i="22"/>
  <c r="C316" i="22"/>
  <c r="D316" i="22"/>
  <c r="E316" i="22"/>
  <c r="F316" i="22"/>
  <c r="G316" i="22"/>
  <c r="H316" i="22"/>
  <c r="I316" i="22"/>
  <c r="J316" i="22"/>
  <c r="K316" i="22"/>
  <c r="L316" i="22"/>
  <c r="M316" i="22"/>
  <c r="N316" i="22"/>
  <c r="O316" i="22"/>
  <c r="P316" i="22"/>
  <c r="Q316" i="22"/>
  <c r="R316" i="22"/>
  <c r="S316" i="22"/>
  <c r="T316" i="22"/>
  <c r="U316" i="22"/>
  <c r="V316" i="22"/>
  <c r="W316" i="22"/>
  <c r="X316" i="22"/>
  <c r="Y316" i="22"/>
  <c r="Z316" i="22"/>
  <c r="AA316" i="22"/>
  <c r="AB316" i="22"/>
  <c r="AC316" i="22"/>
  <c r="AD316" i="22"/>
  <c r="AE316" i="22"/>
  <c r="AF316" i="22"/>
  <c r="AG316" i="22"/>
  <c r="AH316" i="22"/>
  <c r="AI316" i="22"/>
  <c r="AJ316" i="22"/>
  <c r="AK316" i="22"/>
  <c r="AL316" i="22"/>
  <c r="AM316" i="22"/>
  <c r="AN316" i="22"/>
  <c r="AO316" i="22"/>
  <c r="AP316" i="22"/>
  <c r="AQ316" i="22"/>
  <c r="AR316" i="22"/>
  <c r="AS316" i="22"/>
  <c r="AT316" i="22"/>
  <c r="AU316" i="22"/>
  <c r="AV316" i="22"/>
  <c r="AW316" i="22"/>
  <c r="AX316" i="22"/>
  <c r="AY316" i="22"/>
  <c r="AZ316" i="22"/>
  <c r="BA316" i="22"/>
  <c r="BB316" i="22"/>
  <c r="BC316" i="22"/>
  <c r="BD316" i="22"/>
  <c r="BE316" i="22"/>
  <c r="BF316" i="22"/>
  <c r="BG316" i="22"/>
  <c r="BH316" i="22"/>
  <c r="BI316" i="22"/>
  <c r="BJ316" i="22"/>
  <c r="BK316" i="22"/>
  <c r="BL316" i="22"/>
  <c r="BM316" i="22"/>
  <c r="BN316" i="22"/>
  <c r="BO316" i="22"/>
  <c r="BP316" i="22"/>
  <c r="BQ316" i="22"/>
  <c r="BR316" i="22"/>
  <c r="BS316" i="22"/>
  <c r="BT316" i="22"/>
  <c r="BU316" i="22"/>
  <c r="BV316" i="22"/>
  <c r="BW316" i="22"/>
  <c r="BX316" i="22"/>
  <c r="BY316" i="22"/>
  <c r="BZ316" i="22"/>
  <c r="CA316" i="22"/>
  <c r="CB316" i="22"/>
  <c r="A317" i="22"/>
  <c r="E646" i="22" s="1"/>
  <c r="B317" i="22"/>
  <c r="C317" i="22"/>
  <c r="D317" i="22"/>
  <c r="E317" i="22"/>
  <c r="F317" i="22"/>
  <c r="G317" i="22"/>
  <c r="H317" i="22"/>
  <c r="I317" i="22"/>
  <c r="J317" i="22"/>
  <c r="K317" i="22"/>
  <c r="L317" i="22"/>
  <c r="M317" i="22"/>
  <c r="N317" i="22"/>
  <c r="O317" i="22"/>
  <c r="P317" i="22"/>
  <c r="Q317" i="22"/>
  <c r="R317" i="22"/>
  <c r="S317" i="22"/>
  <c r="T317" i="22"/>
  <c r="U317" i="22"/>
  <c r="V317" i="22"/>
  <c r="W317" i="22"/>
  <c r="X317" i="22"/>
  <c r="Y317" i="22"/>
  <c r="Z317" i="22"/>
  <c r="AA317" i="22"/>
  <c r="AB317" i="22"/>
  <c r="AC317" i="22"/>
  <c r="AD317" i="22"/>
  <c r="AE317" i="22"/>
  <c r="AF317" i="22"/>
  <c r="AG317" i="22"/>
  <c r="AH317" i="22"/>
  <c r="AI317" i="22"/>
  <c r="AJ317" i="22"/>
  <c r="AK317" i="22"/>
  <c r="AL317" i="22"/>
  <c r="AM317" i="22"/>
  <c r="AN317" i="22"/>
  <c r="AO317" i="22"/>
  <c r="AP317" i="22"/>
  <c r="AQ317" i="22"/>
  <c r="AR317" i="22"/>
  <c r="AS317" i="22"/>
  <c r="AT317" i="22"/>
  <c r="AU317" i="22"/>
  <c r="AV317" i="22"/>
  <c r="AW317" i="22"/>
  <c r="AX317" i="22"/>
  <c r="AY317" i="22"/>
  <c r="AZ317" i="22"/>
  <c r="BA317" i="22"/>
  <c r="BB317" i="22"/>
  <c r="BC317" i="22"/>
  <c r="BD317" i="22"/>
  <c r="BE317" i="22"/>
  <c r="BF317" i="22"/>
  <c r="BG317" i="22"/>
  <c r="BH317" i="22"/>
  <c r="BI317" i="22"/>
  <c r="BJ317" i="22"/>
  <c r="BK317" i="22"/>
  <c r="BL317" i="22"/>
  <c r="BM317" i="22"/>
  <c r="BN317" i="22"/>
  <c r="BO317" i="22"/>
  <c r="BP317" i="22"/>
  <c r="BQ317" i="22"/>
  <c r="BR317" i="22"/>
  <c r="BS317" i="22"/>
  <c r="BT317" i="22"/>
  <c r="BU317" i="22"/>
  <c r="BV317" i="22"/>
  <c r="BW317" i="22"/>
  <c r="BX317" i="22"/>
  <c r="BY317" i="22"/>
  <c r="BZ317" i="22"/>
  <c r="CA317" i="22"/>
  <c r="CB317" i="22"/>
  <c r="A318" i="22"/>
  <c r="E647" i="22" s="1"/>
  <c r="B318" i="22"/>
  <c r="C318" i="22"/>
  <c r="D318" i="22"/>
  <c r="E318" i="22"/>
  <c r="F318" i="22"/>
  <c r="G318" i="22"/>
  <c r="H318" i="22"/>
  <c r="I318" i="22"/>
  <c r="J318" i="22"/>
  <c r="K318" i="22"/>
  <c r="L318" i="22"/>
  <c r="M318" i="22"/>
  <c r="N318" i="22"/>
  <c r="O318" i="22"/>
  <c r="P318" i="22"/>
  <c r="Q318" i="22"/>
  <c r="R318" i="22"/>
  <c r="S318" i="22"/>
  <c r="T318" i="22"/>
  <c r="U318" i="22"/>
  <c r="V318" i="22"/>
  <c r="W318" i="22"/>
  <c r="X318" i="22"/>
  <c r="Y318" i="22"/>
  <c r="Z318" i="22"/>
  <c r="AA318" i="22"/>
  <c r="AB318" i="22"/>
  <c r="AC318" i="22"/>
  <c r="AD318" i="22"/>
  <c r="AE318" i="22"/>
  <c r="AF318" i="22"/>
  <c r="AG318" i="22"/>
  <c r="AH318" i="22"/>
  <c r="AI318" i="22"/>
  <c r="AJ318" i="22"/>
  <c r="AK318" i="22"/>
  <c r="AL318" i="22"/>
  <c r="AM318" i="22"/>
  <c r="AN318" i="22"/>
  <c r="AO318" i="22"/>
  <c r="AP318" i="22"/>
  <c r="AQ318" i="22"/>
  <c r="AR318" i="22"/>
  <c r="AS318" i="22"/>
  <c r="AT318" i="22"/>
  <c r="AU318" i="22"/>
  <c r="AV318" i="22"/>
  <c r="AW318" i="22"/>
  <c r="AX318" i="22"/>
  <c r="AY318" i="22"/>
  <c r="AZ318" i="22"/>
  <c r="BA318" i="22"/>
  <c r="BB318" i="22"/>
  <c r="BC318" i="22"/>
  <c r="BD318" i="22"/>
  <c r="BE318" i="22"/>
  <c r="BF318" i="22"/>
  <c r="BG318" i="22"/>
  <c r="BH318" i="22"/>
  <c r="BI318" i="22"/>
  <c r="BJ318" i="22"/>
  <c r="BK318" i="22"/>
  <c r="BL318" i="22"/>
  <c r="BM318" i="22"/>
  <c r="BN318" i="22"/>
  <c r="BO318" i="22"/>
  <c r="BP318" i="22"/>
  <c r="BQ318" i="22"/>
  <c r="BR318" i="22"/>
  <c r="BS318" i="22"/>
  <c r="BT318" i="22"/>
  <c r="BU318" i="22"/>
  <c r="BV318" i="22"/>
  <c r="BW318" i="22"/>
  <c r="BX318" i="22"/>
  <c r="BY318" i="22"/>
  <c r="BZ318" i="22"/>
  <c r="CA318" i="22"/>
  <c r="CB318" i="22"/>
  <c r="A319" i="22"/>
  <c r="E648" i="22" s="1"/>
  <c r="B319" i="22"/>
  <c r="C319" i="22"/>
  <c r="D319" i="22"/>
  <c r="E319" i="22"/>
  <c r="F319" i="22"/>
  <c r="G319" i="22"/>
  <c r="H319" i="22"/>
  <c r="I319" i="22"/>
  <c r="J319" i="22"/>
  <c r="K319" i="22"/>
  <c r="L319" i="22"/>
  <c r="M319" i="22"/>
  <c r="N319" i="22"/>
  <c r="O319" i="22"/>
  <c r="P319" i="22"/>
  <c r="Q319" i="22"/>
  <c r="R319" i="22"/>
  <c r="S319" i="22"/>
  <c r="T319" i="22"/>
  <c r="U319" i="22"/>
  <c r="V319" i="22"/>
  <c r="W319" i="22"/>
  <c r="X319" i="22"/>
  <c r="Y319" i="22"/>
  <c r="Z319" i="22"/>
  <c r="AA319" i="22"/>
  <c r="AB319" i="22"/>
  <c r="AC319" i="22"/>
  <c r="AD319" i="22"/>
  <c r="AE319" i="22"/>
  <c r="AF319" i="22"/>
  <c r="AG319" i="22"/>
  <c r="AH319" i="22"/>
  <c r="AI319" i="22"/>
  <c r="AJ319" i="22"/>
  <c r="AK319" i="22"/>
  <c r="AL319" i="22"/>
  <c r="AM319" i="22"/>
  <c r="AN319" i="22"/>
  <c r="AO319" i="22"/>
  <c r="AP319" i="22"/>
  <c r="AQ319" i="22"/>
  <c r="AR319" i="22"/>
  <c r="AS319" i="22"/>
  <c r="AT319" i="22"/>
  <c r="AU319" i="22"/>
  <c r="AV319" i="22"/>
  <c r="AW319" i="22"/>
  <c r="AX319" i="22"/>
  <c r="AY319" i="22"/>
  <c r="AZ319" i="22"/>
  <c r="BA319" i="22"/>
  <c r="BB319" i="22"/>
  <c r="BC319" i="22"/>
  <c r="BD319" i="22"/>
  <c r="BE319" i="22"/>
  <c r="BF319" i="22"/>
  <c r="BG319" i="22"/>
  <c r="BH319" i="22"/>
  <c r="BI319" i="22"/>
  <c r="BJ319" i="22"/>
  <c r="BK319" i="22"/>
  <c r="BL319" i="22"/>
  <c r="BM319" i="22"/>
  <c r="BN319" i="22"/>
  <c r="BO319" i="22"/>
  <c r="BP319" i="22"/>
  <c r="BQ319" i="22"/>
  <c r="BR319" i="22"/>
  <c r="BS319" i="22"/>
  <c r="BT319" i="22"/>
  <c r="BU319" i="22"/>
  <c r="BV319" i="22"/>
  <c r="BW319" i="22"/>
  <c r="BX319" i="22"/>
  <c r="BY319" i="22"/>
  <c r="BZ319" i="22"/>
  <c r="CA319" i="22"/>
  <c r="CB319" i="22"/>
  <c r="A320" i="22"/>
  <c r="E649" i="22" s="1"/>
  <c r="B320" i="22"/>
  <c r="C320" i="22"/>
  <c r="D320" i="22"/>
  <c r="E320" i="22"/>
  <c r="F320" i="22"/>
  <c r="G320" i="22"/>
  <c r="H320" i="22"/>
  <c r="I320" i="22"/>
  <c r="J320" i="22"/>
  <c r="K320" i="22"/>
  <c r="L320" i="22"/>
  <c r="M320" i="22"/>
  <c r="N320" i="22"/>
  <c r="O320" i="22"/>
  <c r="P320" i="22"/>
  <c r="Q320" i="22"/>
  <c r="R320" i="22"/>
  <c r="S320" i="22"/>
  <c r="T320" i="22"/>
  <c r="U320" i="22"/>
  <c r="V320" i="22"/>
  <c r="W320" i="22"/>
  <c r="X320" i="22"/>
  <c r="Y320" i="22"/>
  <c r="Z320" i="22"/>
  <c r="AA320" i="22"/>
  <c r="AB320" i="22"/>
  <c r="AC320" i="22"/>
  <c r="AD320" i="22"/>
  <c r="AE320" i="22"/>
  <c r="AF320" i="22"/>
  <c r="AG320" i="22"/>
  <c r="AH320" i="22"/>
  <c r="AI320" i="22"/>
  <c r="AJ320" i="22"/>
  <c r="AK320" i="22"/>
  <c r="AL320" i="22"/>
  <c r="AM320" i="22"/>
  <c r="AN320" i="22"/>
  <c r="AO320" i="22"/>
  <c r="AP320" i="22"/>
  <c r="AQ320" i="22"/>
  <c r="AR320" i="22"/>
  <c r="AS320" i="22"/>
  <c r="AT320" i="22"/>
  <c r="AU320" i="22"/>
  <c r="AV320" i="22"/>
  <c r="AW320" i="22"/>
  <c r="AX320" i="22"/>
  <c r="AY320" i="22"/>
  <c r="AZ320" i="22"/>
  <c r="BA320" i="22"/>
  <c r="BB320" i="22"/>
  <c r="BC320" i="22"/>
  <c r="BD320" i="22"/>
  <c r="BE320" i="22"/>
  <c r="BF320" i="22"/>
  <c r="BG320" i="22"/>
  <c r="BH320" i="22"/>
  <c r="BI320" i="22"/>
  <c r="BJ320" i="22"/>
  <c r="BK320" i="22"/>
  <c r="BL320" i="22"/>
  <c r="BM320" i="22"/>
  <c r="BN320" i="22"/>
  <c r="BO320" i="22"/>
  <c r="BP320" i="22"/>
  <c r="BQ320" i="22"/>
  <c r="BR320" i="22"/>
  <c r="BS320" i="22"/>
  <c r="BT320" i="22"/>
  <c r="BU320" i="22"/>
  <c r="BV320" i="22"/>
  <c r="BW320" i="22"/>
  <c r="BX320" i="22"/>
  <c r="BY320" i="22"/>
  <c r="BZ320" i="22"/>
  <c r="CA320" i="22"/>
  <c r="CB320" i="22"/>
  <c r="A321" i="22"/>
  <c r="E650" i="22" s="1"/>
  <c r="B321" i="22"/>
  <c r="C321" i="22"/>
  <c r="D321" i="22"/>
  <c r="E321" i="22"/>
  <c r="F321" i="22"/>
  <c r="G321" i="22"/>
  <c r="H321" i="22"/>
  <c r="I321" i="22"/>
  <c r="J321" i="22"/>
  <c r="K321" i="22"/>
  <c r="L321" i="22"/>
  <c r="M321" i="22"/>
  <c r="N321" i="22"/>
  <c r="O321" i="22"/>
  <c r="P321" i="22"/>
  <c r="Q321" i="22"/>
  <c r="R321" i="22"/>
  <c r="S321" i="22"/>
  <c r="T321" i="22"/>
  <c r="U321" i="22"/>
  <c r="V321" i="22"/>
  <c r="W321" i="22"/>
  <c r="X321" i="22"/>
  <c r="Y321" i="22"/>
  <c r="Z321" i="22"/>
  <c r="AA321" i="22"/>
  <c r="AB321" i="22"/>
  <c r="AC321" i="22"/>
  <c r="AD321" i="22"/>
  <c r="AE321" i="22"/>
  <c r="AF321" i="22"/>
  <c r="AG321" i="22"/>
  <c r="AH321" i="22"/>
  <c r="AI321" i="22"/>
  <c r="AJ321" i="22"/>
  <c r="AK321" i="22"/>
  <c r="AL321" i="22"/>
  <c r="AM321" i="22"/>
  <c r="AN321" i="22"/>
  <c r="AO321" i="22"/>
  <c r="AP321" i="22"/>
  <c r="AQ321" i="22"/>
  <c r="AR321" i="22"/>
  <c r="AS321" i="22"/>
  <c r="AT321" i="22"/>
  <c r="AU321" i="22"/>
  <c r="AV321" i="22"/>
  <c r="AW321" i="22"/>
  <c r="AX321" i="22"/>
  <c r="AY321" i="22"/>
  <c r="AZ321" i="22"/>
  <c r="BA321" i="22"/>
  <c r="BB321" i="22"/>
  <c r="BC321" i="22"/>
  <c r="BD321" i="22"/>
  <c r="BE321" i="22"/>
  <c r="BF321" i="22"/>
  <c r="BG321" i="22"/>
  <c r="BH321" i="22"/>
  <c r="BI321" i="22"/>
  <c r="BJ321" i="22"/>
  <c r="BK321" i="22"/>
  <c r="BL321" i="22"/>
  <c r="BM321" i="22"/>
  <c r="BN321" i="22"/>
  <c r="BO321" i="22"/>
  <c r="BP321" i="22"/>
  <c r="BQ321" i="22"/>
  <c r="BR321" i="22"/>
  <c r="BS321" i="22"/>
  <c r="BT321" i="22"/>
  <c r="BU321" i="22"/>
  <c r="BV321" i="22"/>
  <c r="BW321" i="22"/>
  <c r="BX321" i="22"/>
  <c r="BY321" i="22"/>
  <c r="BZ321" i="22"/>
  <c r="CB321" i="22"/>
  <c r="A322" i="22"/>
  <c r="E651" i="22" s="1"/>
  <c r="B322" i="22"/>
  <c r="C322" i="22"/>
  <c r="D322" i="22"/>
  <c r="E322" i="22"/>
  <c r="F322" i="22"/>
  <c r="G322" i="22"/>
  <c r="H322" i="22"/>
  <c r="I322" i="22"/>
  <c r="J322" i="22"/>
  <c r="K322" i="22"/>
  <c r="L322" i="22"/>
  <c r="M322" i="22"/>
  <c r="N322" i="22"/>
  <c r="O322" i="22"/>
  <c r="P322" i="22"/>
  <c r="Q322" i="22"/>
  <c r="R322" i="22"/>
  <c r="S322" i="22"/>
  <c r="T322" i="22"/>
  <c r="U322" i="22"/>
  <c r="V322" i="22"/>
  <c r="W322" i="22"/>
  <c r="X322" i="22"/>
  <c r="Y322" i="22"/>
  <c r="Z322" i="22"/>
  <c r="AA322" i="22"/>
  <c r="AB322" i="22"/>
  <c r="AC322" i="22"/>
  <c r="AD322" i="22"/>
  <c r="AE322" i="22"/>
  <c r="AF322" i="22"/>
  <c r="AG322" i="22"/>
  <c r="AH322" i="22"/>
  <c r="AI322" i="22"/>
  <c r="AJ322" i="22"/>
  <c r="AK322" i="22"/>
  <c r="AL322" i="22"/>
  <c r="AM322" i="22"/>
  <c r="AN322" i="22"/>
  <c r="AO322" i="22"/>
  <c r="AP322" i="22"/>
  <c r="AQ322" i="22"/>
  <c r="AR322" i="22"/>
  <c r="AS322" i="22"/>
  <c r="AT322" i="22"/>
  <c r="AU322" i="22"/>
  <c r="AV322" i="22"/>
  <c r="AW322" i="22"/>
  <c r="AX322" i="22"/>
  <c r="AY322" i="22"/>
  <c r="AZ322" i="22"/>
  <c r="BA322" i="22"/>
  <c r="BB322" i="22"/>
  <c r="BC322" i="22"/>
  <c r="BD322" i="22"/>
  <c r="BE322" i="22"/>
  <c r="BF322" i="22"/>
  <c r="BG322" i="22"/>
  <c r="BH322" i="22"/>
  <c r="BI322" i="22"/>
  <c r="BJ322" i="22"/>
  <c r="BK322" i="22"/>
  <c r="BL322" i="22"/>
  <c r="BM322" i="22"/>
  <c r="BN322" i="22"/>
  <c r="BO322" i="22"/>
  <c r="BP322" i="22"/>
  <c r="BQ322" i="22"/>
  <c r="BR322" i="22"/>
  <c r="BS322" i="22"/>
  <c r="BT322" i="22"/>
  <c r="BU322" i="22"/>
  <c r="BV322" i="22"/>
  <c r="BW322" i="22"/>
  <c r="BX322" i="22"/>
  <c r="BY322" i="22"/>
  <c r="BZ322" i="22"/>
  <c r="CA322" i="22"/>
  <c r="CB322" i="22"/>
  <c r="A323" i="22"/>
  <c r="E652" i="22" s="1"/>
  <c r="B323" i="22"/>
  <c r="C323" i="22"/>
  <c r="D323" i="22"/>
  <c r="E323" i="22"/>
  <c r="F323" i="22"/>
  <c r="G323" i="22"/>
  <c r="H323" i="22"/>
  <c r="I323" i="22"/>
  <c r="J323" i="22"/>
  <c r="K323" i="22"/>
  <c r="L323" i="22"/>
  <c r="M323" i="22"/>
  <c r="N323" i="22"/>
  <c r="O323" i="22"/>
  <c r="P323" i="22"/>
  <c r="Q323" i="22"/>
  <c r="R323" i="22"/>
  <c r="S323" i="22"/>
  <c r="T323" i="22"/>
  <c r="U323" i="22"/>
  <c r="AN324" i="22"/>
  <c r="AS324" i="22"/>
  <c r="AT324" i="22"/>
  <c r="AV324" i="22"/>
  <c r="AW324" i="22"/>
  <c r="AX324" i="22"/>
  <c r="AY324" i="22"/>
  <c r="AZ324" i="22"/>
  <c r="BA324" i="22"/>
  <c r="BB324" i="22"/>
  <c r="BH324" i="22"/>
  <c r="BI324" i="22"/>
  <c r="BJ324" i="22"/>
  <c r="BK324" i="22"/>
  <c r="BL324" i="22"/>
  <c r="BM324" i="22"/>
  <c r="BO324" i="22"/>
  <c r="BQ324" i="22"/>
  <c r="BR324" i="22"/>
  <c r="BS324" i="22"/>
  <c r="BU324" i="22"/>
  <c r="BV324" i="22"/>
  <c r="BW324" i="22"/>
  <c r="BZ324" i="22"/>
  <c r="CB324" i="22"/>
  <c r="B325" i="22"/>
  <c r="F325" i="22"/>
  <c r="G325" i="22"/>
  <c r="H325" i="22"/>
  <c r="M325" i="22"/>
  <c r="Q325" i="22"/>
  <c r="R325" i="22"/>
  <c r="S325" i="22"/>
  <c r="U325" i="22"/>
  <c r="W325" i="22"/>
  <c r="X325" i="22"/>
  <c r="Y325" i="22"/>
  <c r="Z325" i="22"/>
  <c r="AD325" i="22"/>
  <c r="AE325" i="22"/>
  <c r="AF325" i="22"/>
  <c r="AL325" i="22"/>
  <c r="AM325" i="22"/>
  <c r="AN325" i="22"/>
  <c r="AP325" i="22"/>
  <c r="AQ325" i="22"/>
  <c r="AR325" i="22"/>
  <c r="AS325" i="22"/>
  <c r="AT325" i="22"/>
  <c r="AU325" i="22"/>
  <c r="AX325" i="22"/>
  <c r="BE325" i="22"/>
  <c r="BF325" i="22"/>
  <c r="BG325" i="22"/>
  <c r="BJ325" i="22"/>
  <c r="BL325" i="22"/>
  <c r="BM325" i="22"/>
  <c r="BN325" i="22"/>
  <c r="BQ325" i="22"/>
  <c r="BR325" i="22"/>
  <c r="BS325" i="22"/>
  <c r="BV325" i="22"/>
  <c r="BX325" i="22"/>
  <c r="A326" i="22"/>
  <c r="E655" i="22" s="1"/>
  <c r="C326" i="22"/>
  <c r="D326" i="22"/>
  <c r="E326" i="22"/>
  <c r="G326" i="22"/>
  <c r="K326" i="22"/>
  <c r="L326" i="22"/>
  <c r="M326" i="22"/>
  <c r="U326" i="22"/>
  <c r="W326" i="22"/>
  <c r="Y326" i="22"/>
  <c r="AA326" i="22"/>
  <c r="AB326" i="22"/>
  <c r="AC326" i="22"/>
  <c r="AD326" i="22"/>
  <c r="AE326" i="22"/>
  <c r="AF326" i="22"/>
  <c r="AG326" i="22"/>
  <c r="AH326" i="22"/>
  <c r="AI326" i="22"/>
  <c r="AJ326" i="22"/>
  <c r="AK326" i="22"/>
  <c r="AL326" i="22"/>
  <c r="AM326" i="22"/>
  <c r="AN326" i="22"/>
  <c r="AO326" i="22"/>
  <c r="AP326" i="22"/>
  <c r="AQ326" i="22"/>
  <c r="AR326" i="22"/>
  <c r="AS326" i="22"/>
  <c r="AT326" i="22"/>
  <c r="AU326" i="22"/>
  <c r="AV326" i="22"/>
  <c r="AW326" i="22"/>
  <c r="AX326" i="22"/>
  <c r="AY326" i="22"/>
  <c r="AZ326" i="22"/>
  <c r="BA326" i="22"/>
  <c r="BB326" i="22"/>
  <c r="BC326" i="22"/>
  <c r="BD326" i="22"/>
  <c r="BE326" i="22"/>
  <c r="BF326" i="22"/>
  <c r="BG326" i="22"/>
  <c r="BH326" i="22"/>
  <c r="BI326" i="22"/>
  <c r="BJ326" i="22"/>
  <c r="BK326" i="22"/>
  <c r="BL326" i="22"/>
  <c r="BM326" i="22"/>
  <c r="BN326" i="22"/>
  <c r="BO326" i="22"/>
  <c r="BP326" i="22"/>
  <c r="BQ326" i="22"/>
  <c r="BR326" i="22"/>
  <c r="BS326" i="22"/>
  <c r="BT326" i="22"/>
  <c r="BU326" i="22"/>
  <c r="BV326" i="22"/>
  <c r="BW326" i="22"/>
  <c r="BD257" i="22"/>
  <c r="F641" i="22" s="1"/>
  <c r="BE257" i="22"/>
  <c r="F642" i="22" s="1"/>
  <c r="BF257" i="22"/>
  <c r="F643" i="22" s="1"/>
  <c r="BI257" i="22"/>
  <c r="F646" i="22" s="1"/>
  <c r="BO257" i="22"/>
  <c r="F652" i="22" s="1"/>
  <c r="BP257" i="22"/>
  <c r="F653" i="22" s="1"/>
  <c r="BS257" i="22"/>
  <c r="F656" i="22" s="1"/>
  <c r="BT257" i="22"/>
  <c r="F657" i="22" s="1"/>
  <c r="BW257" i="22"/>
  <c r="F660" i="22" s="1"/>
  <c r="CB257" i="22"/>
  <c r="F665" i="22" s="1"/>
  <c r="C258" i="22"/>
  <c r="G258" i="22"/>
  <c r="H258" i="22"/>
  <c r="J258" i="22"/>
  <c r="K258" i="22"/>
  <c r="L258" i="22"/>
  <c r="N258" i="22"/>
  <c r="O258" i="22"/>
  <c r="Q258" i="22"/>
  <c r="T258" i="22"/>
  <c r="V258" i="22"/>
  <c r="W258" i="22"/>
  <c r="X258" i="22"/>
  <c r="Y258" i="22"/>
  <c r="AB258" i="22"/>
  <c r="AC258" i="22"/>
  <c r="AD258" i="22"/>
  <c r="AE258" i="22"/>
  <c r="AF258" i="22"/>
  <c r="AG258" i="22"/>
  <c r="AI258" i="22"/>
  <c r="AJ258" i="22"/>
  <c r="AK258" i="22"/>
  <c r="AL258" i="22"/>
  <c r="AN258" i="22"/>
  <c r="AO258" i="22"/>
  <c r="AP258" i="22"/>
  <c r="AQ258" i="22"/>
  <c r="AS258" i="22"/>
  <c r="AV258" i="22"/>
  <c r="AW258" i="22"/>
  <c r="AX258" i="22"/>
  <c r="AY258" i="22"/>
  <c r="BA258" i="22"/>
  <c r="BB258" i="22"/>
  <c r="BC258" i="22"/>
  <c r="BD258" i="22"/>
  <c r="BE258" i="22"/>
  <c r="BJ258" i="22"/>
  <c r="BK258" i="22"/>
  <c r="BM258" i="22"/>
  <c r="BN258" i="22"/>
  <c r="BT258" i="22"/>
  <c r="BU258" i="22"/>
  <c r="BW258" i="22"/>
  <c r="BX258" i="22"/>
  <c r="CA258" i="22"/>
  <c r="A259" i="22"/>
  <c r="E588" i="22" s="1"/>
  <c r="B259" i="22"/>
  <c r="F259" i="22"/>
  <c r="H259" i="22"/>
  <c r="J259" i="22"/>
  <c r="L259" i="22"/>
  <c r="M259" i="22"/>
  <c r="N259" i="22"/>
  <c r="O259" i="22"/>
  <c r="R259" i="22"/>
  <c r="S259" i="22"/>
  <c r="X259" i="22"/>
  <c r="Y259" i="22"/>
  <c r="Z259" i="22"/>
  <c r="AA259" i="22"/>
  <c r="AB259" i="22"/>
  <c r="AE259" i="22"/>
  <c r="AG259" i="22"/>
  <c r="AH259" i="22"/>
  <c r="AQ259" i="22"/>
  <c r="AT259" i="22"/>
  <c r="AV259" i="22"/>
  <c r="AW259" i="22"/>
  <c r="AX259" i="22"/>
  <c r="AY259" i="22"/>
  <c r="AZ259" i="22"/>
  <c r="BB259" i="22"/>
  <c r="BD259" i="22"/>
  <c r="BE259" i="22"/>
  <c r="BF259" i="22"/>
  <c r="BI259" i="22"/>
  <c r="BJ259" i="22"/>
  <c r="BL259" i="22"/>
  <c r="BM259" i="22"/>
  <c r="BN259" i="22"/>
  <c r="BO259" i="22"/>
  <c r="BQ259" i="22"/>
  <c r="BT259" i="22"/>
  <c r="BV259" i="22"/>
  <c r="BW259" i="22"/>
  <c r="BX259" i="22"/>
  <c r="BY259" i="22"/>
  <c r="BZ259" i="22"/>
  <c r="A260" i="22"/>
  <c r="E589" i="22" s="1"/>
  <c r="B260" i="22"/>
  <c r="I260" i="22"/>
  <c r="J260" i="22"/>
  <c r="M260" i="22"/>
  <c r="O260" i="22"/>
  <c r="P260" i="22"/>
  <c r="Q260" i="22"/>
  <c r="R260" i="22"/>
  <c r="S260" i="22"/>
  <c r="T260" i="22"/>
  <c r="U260" i="22"/>
  <c r="V260" i="22"/>
  <c r="W260" i="22"/>
  <c r="X260" i="22"/>
  <c r="Y260" i="22"/>
  <c r="Z260" i="22"/>
  <c r="AE260" i="22"/>
  <c r="AF260" i="22"/>
  <c r="AH260" i="22"/>
  <c r="AI260" i="22"/>
  <c r="AJ260" i="22"/>
  <c r="AK260" i="22"/>
  <c r="AQ260" i="22"/>
  <c r="AT260" i="22"/>
  <c r="AW260" i="22"/>
  <c r="AX260" i="22"/>
  <c r="AY260" i="22"/>
  <c r="AZ260" i="22"/>
  <c r="BA260" i="22"/>
  <c r="BF260" i="22"/>
  <c r="BH260" i="22"/>
  <c r="BI260" i="22"/>
  <c r="BL260" i="22"/>
  <c r="BM260" i="22"/>
  <c r="BO260" i="22"/>
  <c r="BP260" i="22"/>
  <c r="BQ260" i="22"/>
  <c r="BR260" i="22"/>
  <c r="BS260" i="22"/>
  <c r="BT260" i="22"/>
  <c r="BW260" i="22"/>
  <c r="BY260" i="22"/>
  <c r="BZ260" i="22"/>
  <c r="CB260" i="22"/>
  <c r="B261" i="22"/>
  <c r="C261" i="22"/>
  <c r="D261" i="22"/>
  <c r="E261" i="22"/>
  <c r="F261" i="22"/>
  <c r="H261" i="22"/>
  <c r="K261" i="22"/>
  <c r="N261" i="22"/>
  <c r="O261" i="22"/>
  <c r="P261" i="22"/>
  <c r="R261" i="22"/>
  <c r="S261" i="22"/>
  <c r="T261" i="22"/>
  <c r="W261" i="22"/>
  <c r="Y261" i="22"/>
  <c r="AB261" i="22"/>
  <c r="AD261" i="22"/>
  <c r="AF261" i="22"/>
  <c r="AH261" i="22"/>
  <c r="AJ261" i="22"/>
  <c r="AL261" i="22"/>
  <c r="AM261" i="22"/>
  <c r="AN261" i="22"/>
  <c r="AO261" i="22"/>
  <c r="AQ261" i="22"/>
  <c r="AT261" i="22"/>
  <c r="AU261" i="22"/>
  <c r="AV261" i="22"/>
  <c r="AW261" i="22"/>
  <c r="AX261" i="22"/>
  <c r="AY261" i="22"/>
  <c r="AZ261" i="22"/>
  <c r="BA261" i="22"/>
  <c r="BB261" i="22"/>
  <c r="BC261" i="22"/>
  <c r="BD261" i="22"/>
  <c r="BF261" i="22"/>
  <c r="BG261" i="22"/>
  <c r="BH261" i="22"/>
  <c r="BI261" i="22"/>
  <c r="BJ261" i="22"/>
  <c r="BK261" i="22"/>
  <c r="BL261" i="22"/>
  <c r="BN261" i="22"/>
  <c r="BO261" i="22"/>
  <c r="BP261" i="22"/>
  <c r="BR261" i="22"/>
  <c r="BV261" i="22"/>
  <c r="BX261" i="22"/>
  <c r="BY261" i="22"/>
  <c r="BZ261" i="22"/>
  <c r="CA261" i="22"/>
  <c r="B262" i="22"/>
  <c r="E262" i="22"/>
  <c r="G262" i="22"/>
  <c r="H262" i="22"/>
  <c r="I262" i="22"/>
  <c r="K262" i="22"/>
  <c r="L262" i="22"/>
  <c r="N262" i="22"/>
  <c r="P262" i="22"/>
  <c r="U262" i="22"/>
  <c r="V262" i="22"/>
  <c r="Y262" i="22"/>
  <c r="AD262" i="22"/>
  <c r="AE262" i="22"/>
  <c r="AF262" i="22"/>
  <c r="AG262" i="22"/>
  <c r="AH262" i="22"/>
  <c r="AQ262" i="22"/>
  <c r="AR262" i="22"/>
  <c r="AS262" i="22"/>
  <c r="AX262" i="22"/>
  <c r="AY262" i="22"/>
  <c r="AZ262" i="22"/>
  <c r="BA262" i="22"/>
  <c r="BB262" i="22"/>
  <c r="BC262" i="22"/>
  <c r="BE262" i="22"/>
  <c r="BF262" i="22"/>
  <c r="BH262" i="22"/>
  <c r="BK262" i="22"/>
  <c r="BL262" i="22"/>
  <c r="BM262" i="22"/>
  <c r="BN262" i="22"/>
  <c r="BV262" i="22"/>
  <c r="BW262" i="22"/>
  <c r="BX262" i="22"/>
  <c r="BZ262" i="22"/>
  <c r="A263" i="22"/>
  <c r="E592" i="22" s="1"/>
  <c r="B263" i="22"/>
  <c r="D263" i="22"/>
  <c r="F263" i="22"/>
  <c r="G263" i="22"/>
  <c r="H263" i="22"/>
  <c r="I263" i="22"/>
  <c r="J263" i="22"/>
  <c r="K263" i="22"/>
  <c r="L263" i="22"/>
  <c r="N263" i="22"/>
  <c r="P263" i="22"/>
  <c r="Q263" i="22"/>
  <c r="S263" i="22"/>
  <c r="AA263" i="22"/>
  <c r="AG263" i="22"/>
  <c r="AI263" i="22"/>
  <c r="AP263" i="22"/>
  <c r="AQ263" i="22"/>
  <c r="AR263" i="22"/>
  <c r="AS263" i="22"/>
  <c r="AT263" i="22"/>
  <c r="AU263" i="22"/>
  <c r="AV263" i="22"/>
  <c r="AY263" i="22"/>
  <c r="BA263" i="22"/>
  <c r="BC263" i="22"/>
  <c r="BE263" i="22"/>
  <c r="BF263" i="22"/>
  <c r="BA268" i="22"/>
  <c r="E597" i="22" s="1"/>
  <c r="BC268" i="22"/>
  <c r="BD268" i="22"/>
  <c r="BE268" i="22"/>
  <c r="BH268" i="22"/>
  <c r="BJ268" i="22"/>
  <c r="BK268" i="22"/>
  <c r="BL268" i="22"/>
  <c r="BM268" i="22"/>
  <c r="BT268" i="22"/>
  <c r="BU268" i="22"/>
  <c r="BV268" i="22"/>
  <c r="BW268" i="22"/>
  <c r="BX268" i="22"/>
  <c r="BY268" i="22"/>
  <c r="CA268" i="22"/>
  <c r="A269" i="22"/>
  <c r="E598" i="22" s="1"/>
  <c r="B269" i="22"/>
  <c r="C269" i="22"/>
  <c r="D269" i="22"/>
  <c r="F269" i="22"/>
  <c r="G269" i="22"/>
  <c r="H269" i="22"/>
  <c r="I269" i="22"/>
  <c r="J269" i="22"/>
  <c r="K269" i="22"/>
  <c r="L269" i="22"/>
  <c r="M269" i="22"/>
  <c r="N269" i="22"/>
  <c r="O269" i="22"/>
  <c r="P269" i="22"/>
  <c r="Q269" i="22"/>
  <c r="R269" i="22"/>
  <c r="U269" i="22"/>
  <c r="X269" i="22"/>
  <c r="Y269" i="22"/>
  <c r="Z269" i="22"/>
  <c r="AF269" i="22"/>
  <c r="AM269" i="22"/>
  <c r="AN269" i="22"/>
  <c r="AO269" i="22"/>
  <c r="AP269" i="22"/>
  <c r="AR269" i="22"/>
  <c r="AS269" i="22"/>
  <c r="AT269" i="22"/>
  <c r="AU269" i="22"/>
  <c r="AW269" i="22"/>
  <c r="AY269" i="22"/>
  <c r="AZ269" i="22"/>
  <c r="BA269" i="22"/>
  <c r="BB269" i="22"/>
  <c r="BE269" i="22"/>
  <c r="BF269" i="22"/>
  <c r="BI269" i="22"/>
  <c r="BN269" i="22"/>
  <c r="BP269" i="22"/>
  <c r="BQ269" i="22"/>
  <c r="BU269" i="22"/>
  <c r="BV269" i="22"/>
  <c r="BZ269" i="22"/>
  <c r="A270" i="22"/>
  <c r="E599" i="22" s="1"/>
  <c r="B270" i="22"/>
  <c r="D270" i="22"/>
  <c r="E270" i="22"/>
  <c r="F270" i="22"/>
  <c r="G270" i="22"/>
  <c r="H270" i="22"/>
  <c r="I270" i="22"/>
  <c r="J270" i="22"/>
  <c r="O270" i="22"/>
  <c r="P270" i="22"/>
  <c r="Q270" i="22"/>
  <c r="U270" i="22"/>
  <c r="V270" i="22"/>
  <c r="AC270" i="22"/>
  <c r="AE270" i="22"/>
  <c r="AG270" i="22"/>
  <c r="AI270" i="22"/>
  <c r="AL270" i="22"/>
  <c r="AM270" i="22"/>
  <c r="AN270" i="22"/>
  <c r="AO270" i="22"/>
  <c r="AS270" i="22"/>
  <c r="AT270" i="22"/>
  <c r="AU270" i="22"/>
  <c r="AZ270" i="22"/>
  <c r="BA270" i="22"/>
  <c r="BB270" i="22"/>
  <c r="BC270" i="22"/>
  <c r="BD270" i="22"/>
  <c r="BE270" i="22"/>
  <c r="BF270" i="22"/>
  <c r="BH270" i="22"/>
  <c r="BJ270" i="22"/>
  <c r="BK270" i="22"/>
  <c r="BL270" i="22"/>
  <c r="BM270" i="22"/>
  <c r="BN270" i="22"/>
  <c r="BQ270" i="22"/>
  <c r="BS270" i="22"/>
  <c r="BU270" i="22"/>
  <c r="BX270" i="22"/>
  <c r="BY270" i="22"/>
  <c r="CA270" i="22"/>
  <c r="D271" i="22"/>
  <c r="E600" i="22" s="1"/>
  <c r="E271" i="22"/>
  <c r="F271" i="22"/>
  <c r="H271" i="22"/>
  <c r="K271" i="22"/>
  <c r="L271" i="22"/>
  <c r="M271" i="22"/>
  <c r="N271" i="22"/>
  <c r="O271" i="22"/>
  <c r="P271" i="22"/>
  <c r="Q271" i="22"/>
  <c r="S271" i="22"/>
  <c r="W271" i="22"/>
  <c r="X271" i="22"/>
  <c r="Y271" i="22"/>
  <c r="Z271" i="22"/>
  <c r="AB271" i="22"/>
  <c r="AD271" i="22"/>
  <c r="AI271" i="22"/>
  <c r="AK271" i="22"/>
  <c r="AM271" i="22"/>
  <c r="AN271" i="22"/>
  <c r="AO271" i="22"/>
  <c r="AR271" i="22"/>
  <c r="AS271" i="22"/>
  <c r="AT271" i="22"/>
  <c r="AV271" i="22"/>
  <c r="AX271" i="22"/>
  <c r="AY271" i="22"/>
  <c r="BC271" i="22"/>
  <c r="BD271" i="22"/>
  <c r="BF271" i="22"/>
  <c r="BG271" i="22"/>
  <c r="BH271" i="22"/>
  <c r="BJ271" i="22"/>
  <c r="BK271" i="22"/>
  <c r="BM271" i="22"/>
  <c r="BN271" i="22"/>
  <c r="BQ271" i="22"/>
  <c r="BR271" i="22"/>
  <c r="BT271" i="22"/>
  <c r="BU271" i="22"/>
  <c r="BW271" i="22"/>
  <c r="BY271" i="22"/>
  <c r="CA271" i="22"/>
  <c r="CB271" i="22"/>
  <c r="A272" i="22"/>
  <c r="E601" i="22" s="1"/>
  <c r="C272" i="22"/>
  <c r="E272" i="22"/>
  <c r="F272" i="22"/>
  <c r="I272" i="22"/>
  <c r="N272" i="22"/>
  <c r="O272" i="22"/>
  <c r="P272" i="22"/>
  <c r="S272" i="22"/>
  <c r="T272" i="22"/>
  <c r="U272" i="22"/>
  <c r="V272" i="22"/>
  <c r="W272" i="22"/>
  <c r="X272" i="22"/>
  <c r="Y272" i="22"/>
  <c r="AC272" i="22"/>
  <c r="AD272" i="22"/>
  <c r="AE272" i="22"/>
  <c r="AG272" i="22"/>
  <c r="AH272" i="22"/>
  <c r="AI272" i="22"/>
  <c r="AL272" i="22"/>
  <c r="AM272" i="22"/>
  <c r="AQ272" i="22"/>
  <c r="AT272" i="22"/>
  <c r="AU272" i="22"/>
  <c r="AY272" i="22"/>
  <c r="AZ272" i="22"/>
  <c r="BA272" i="22"/>
  <c r="BB272" i="22"/>
  <c r="BC272" i="22"/>
  <c r="BD272" i="22"/>
  <c r="BE272" i="22"/>
  <c r="BF272" i="22"/>
  <c r="BG272" i="22"/>
  <c r="BH272" i="22"/>
  <c r="BJ272" i="22"/>
  <c r="BN272" i="22"/>
  <c r="BO272" i="22"/>
  <c r="BW272" i="22"/>
  <c r="BX272" i="22"/>
  <c r="CB272" i="22"/>
  <c r="B273" i="22"/>
  <c r="E602" i="22" s="1"/>
  <c r="D273" i="22"/>
  <c r="E273" i="22"/>
  <c r="G273" i="22"/>
  <c r="I273" i="22"/>
  <c r="L273" i="22"/>
  <c r="O273" i="22"/>
  <c r="Q273" i="22"/>
  <c r="R273" i="22"/>
  <c r="U273" i="22"/>
  <c r="W273" i="22"/>
  <c r="X273" i="22"/>
  <c r="Y273" i="22"/>
  <c r="AB273" i="22"/>
  <c r="AD273" i="22"/>
  <c r="AE273" i="22"/>
  <c r="AG273" i="22"/>
  <c r="AP273" i="22"/>
  <c r="AQ273" i="22"/>
  <c r="AR273" i="22"/>
  <c r="AS273" i="22"/>
  <c r="AY273" i="22"/>
  <c r="AZ273" i="22"/>
  <c r="BA273" i="22"/>
  <c r="BC273" i="22"/>
  <c r="BE273" i="22"/>
  <c r="BJ273" i="22"/>
  <c r="BK273" i="22"/>
  <c r="BL273" i="22"/>
  <c r="BM273" i="22"/>
  <c r="BN273" i="22"/>
  <c r="BO273" i="22"/>
  <c r="BP273" i="22"/>
  <c r="BQ273" i="22"/>
  <c r="BR273" i="22"/>
  <c r="BS273" i="22"/>
  <c r="BU273" i="22"/>
  <c r="BY273" i="22"/>
  <c r="CA273" i="22"/>
  <c r="CB273" i="22"/>
  <c r="A274" i="22"/>
  <c r="E603" i="22" s="1"/>
  <c r="B274" i="22"/>
  <c r="C274" i="22"/>
  <c r="D274" i="22"/>
  <c r="I274" i="22"/>
  <c r="J274" i="22"/>
  <c r="M274" i="22"/>
  <c r="P274" i="22"/>
  <c r="Q274" i="22"/>
  <c r="R274" i="22"/>
  <c r="T274" i="22"/>
  <c r="W274" i="22"/>
  <c r="X274" i="22"/>
  <c r="Y274" i="22"/>
  <c r="Z274" i="22"/>
  <c r="AA274" i="22"/>
  <c r="AB274" i="22"/>
  <c r="AC274" i="22"/>
  <c r="AE274" i="22"/>
  <c r="AN274" i="22"/>
  <c r="AO274" i="22"/>
  <c r="AR274" i="22"/>
  <c r="AS274" i="22"/>
  <c r="AT274" i="22"/>
  <c r="AU274" i="22"/>
  <c r="AV274" i="22"/>
  <c r="AW274" i="22"/>
  <c r="BB274" i="22"/>
  <c r="BC274" i="22"/>
  <c r="BD274" i="22"/>
  <c r="BE274" i="22"/>
  <c r="BG274" i="22"/>
  <c r="BI274" i="22"/>
  <c r="BK274" i="22"/>
  <c r="BL274" i="22"/>
  <c r="BQ274" i="22"/>
  <c r="BR274" i="22"/>
  <c r="BU274" i="22"/>
  <c r="BW274" i="22"/>
  <c r="BX274" i="22"/>
  <c r="BY274" i="22"/>
  <c r="BZ274" i="22"/>
  <c r="CA274" i="22"/>
  <c r="CB274" i="22"/>
  <c r="A275" i="22"/>
  <c r="E604" i="22" s="1"/>
  <c r="B275" i="22"/>
  <c r="D275" i="22"/>
  <c r="E275" i="22"/>
  <c r="F275" i="22"/>
  <c r="G275" i="22"/>
  <c r="H275" i="22"/>
  <c r="M275" i="22"/>
  <c r="N275" i="22"/>
  <c r="O275" i="22"/>
  <c r="P275" i="22"/>
  <c r="Q275" i="22"/>
  <c r="T275" i="22"/>
  <c r="V275" i="22"/>
  <c r="X275" i="22"/>
  <c r="Z275" i="22"/>
  <c r="AA275" i="22"/>
  <c r="AB275" i="22"/>
  <c r="AC275" i="22"/>
  <c r="AJ275" i="22"/>
  <c r="AK275" i="22"/>
  <c r="AL275" i="22"/>
  <c r="AQ275" i="22"/>
  <c r="AR275" i="22"/>
  <c r="AT275" i="22"/>
  <c r="AU275" i="22"/>
  <c r="AV275" i="22"/>
  <c r="AW275" i="22"/>
  <c r="AX275" i="22"/>
  <c r="AZ275" i="22"/>
  <c r="BA275" i="22"/>
  <c r="BB275" i="22"/>
  <c r="BC275" i="22"/>
  <c r="BD275" i="22"/>
  <c r="BE275" i="22"/>
  <c r="BF275" i="22"/>
  <c r="BI275" i="22"/>
  <c r="BJ275" i="22"/>
  <c r="BM275" i="22"/>
  <c r="BO275" i="22"/>
  <c r="BP275" i="22"/>
  <c r="BQ275" i="22"/>
  <c r="BR275" i="22"/>
  <c r="BT275" i="22"/>
  <c r="BV275" i="22"/>
  <c r="BW275" i="22"/>
  <c r="BX275" i="22"/>
  <c r="CA275" i="22"/>
  <c r="CB275" i="22"/>
  <c r="A276" i="22"/>
  <c r="E605" i="22" s="1"/>
  <c r="B276" i="22"/>
  <c r="E276" i="22"/>
  <c r="H276" i="22"/>
  <c r="J276" i="22"/>
  <c r="K276" i="22"/>
  <c r="L276" i="22"/>
  <c r="N276" i="22"/>
  <c r="P276" i="22"/>
  <c r="Q276" i="22"/>
  <c r="V276" i="22"/>
  <c r="W276" i="22"/>
  <c r="X276" i="22"/>
  <c r="Y276" i="22"/>
  <c r="AH276" i="22"/>
  <c r="AI276" i="22"/>
  <c r="AJ276" i="22"/>
  <c r="AM276" i="22"/>
  <c r="AO276" i="22"/>
  <c r="AQ276" i="22"/>
  <c r="AS276" i="22"/>
  <c r="AT276" i="22"/>
  <c r="AU276" i="22"/>
  <c r="AV276" i="22"/>
  <c r="AW276" i="22"/>
  <c r="AX276" i="22"/>
  <c r="AZ276" i="22"/>
  <c r="BC276" i="22"/>
  <c r="BD276" i="22"/>
  <c r="BE276" i="22"/>
  <c r="BF276" i="22"/>
  <c r="BG276" i="22"/>
  <c r="BJ276" i="22"/>
  <c r="BK276" i="22"/>
  <c r="BM276" i="22"/>
  <c r="BN276" i="22"/>
  <c r="BS276" i="22"/>
  <c r="BT276" i="22"/>
  <c r="BZ276" i="22"/>
  <c r="CB276" i="22"/>
  <c r="A277" i="22"/>
  <c r="E606" i="22" s="1"/>
  <c r="G277" i="22"/>
  <c r="H277" i="22"/>
  <c r="I277" i="22"/>
  <c r="J277" i="22"/>
  <c r="K277" i="22"/>
  <c r="Q277" i="22"/>
  <c r="S277" i="22"/>
  <c r="Z277" i="22"/>
  <c r="AB277" i="22"/>
  <c r="AE277" i="22"/>
  <c r="AF277" i="22"/>
  <c r="AG277" i="22"/>
  <c r="AH277" i="22"/>
  <c r="AJ277" i="22"/>
  <c r="AL277" i="22"/>
  <c r="AM277" i="22"/>
  <c r="AN277" i="22"/>
  <c r="AQ277" i="22"/>
  <c r="AS277" i="22"/>
  <c r="AT277" i="22"/>
  <c r="AW277" i="22"/>
  <c r="AY277" i="22"/>
  <c r="AZ277" i="22"/>
  <c r="BA277" i="22"/>
  <c r="BB277" i="22"/>
  <c r="BC277" i="22"/>
  <c r="BD277" i="22"/>
  <c r="BE277" i="22"/>
  <c r="BH277" i="22"/>
  <c r="BJ277" i="22"/>
  <c r="BK277" i="22"/>
  <c r="BL277" i="22"/>
  <c r="BM277" i="22"/>
  <c r="BR277" i="22"/>
  <c r="BS277" i="22"/>
  <c r="BT277" i="22"/>
  <c r="BZ277" i="22"/>
  <c r="CA277" i="22"/>
  <c r="CB277" i="22"/>
  <c r="A278" i="22"/>
  <c r="E607" i="22" s="1"/>
  <c r="B278" i="22"/>
  <c r="C278" i="22"/>
  <c r="D278" i="22"/>
  <c r="E278" i="22"/>
  <c r="F278" i="22"/>
  <c r="G278" i="22"/>
  <c r="H278" i="22"/>
  <c r="I278" i="22"/>
  <c r="J278" i="22"/>
  <c r="O278" i="22"/>
  <c r="Q278" i="22"/>
  <c r="S278" i="22"/>
  <c r="U278" i="22"/>
  <c r="AA278" i="22"/>
  <c r="AB278" i="22"/>
  <c r="AC278" i="22"/>
  <c r="AE278" i="22"/>
  <c r="AH278" i="22"/>
  <c r="AI278" i="22"/>
  <c r="AJ278" i="22"/>
  <c r="AK278" i="22"/>
  <c r="AL278" i="22"/>
  <c r="AM278" i="22"/>
  <c r="AR278" i="22"/>
  <c r="AS278" i="22"/>
  <c r="AT278" i="22"/>
  <c r="AX278" i="22"/>
  <c r="AY278" i="22"/>
  <c r="AZ278" i="22"/>
  <c r="BA278" i="22"/>
  <c r="BG278" i="22"/>
  <c r="BH278" i="22"/>
  <c r="BI278" i="22"/>
  <c r="BJ278" i="22"/>
  <c r="BK278" i="22"/>
  <c r="BL278" i="22"/>
  <c r="BO278" i="22"/>
  <c r="BP278" i="22"/>
  <c r="BS278" i="22"/>
  <c r="BT278" i="22"/>
  <c r="BU278" i="22"/>
  <c r="BW278" i="22"/>
  <c r="BY278" i="22"/>
  <c r="BZ278" i="22"/>
  <c r="C279" i="22"/>
  <c r="E608" i="22" s="1"/>
  <c r="D279" i="22"/>
  <c r="E279" i="22"/>
  <c r="F279" i="22"/>
  <c r="K279" i="22"/>
  <c r="N279" i="22"/>
  <c r="O279" i="22"/>
  <c r="P279" i="22"/>
  <c r="Q279" i="22"/>
  <c r="R279" i="22"/>
  <c r="S279" i="22"/>
  <c r="AA279" i="22"/>
  <c r="AB279" i="22"/>
  <c r="AC279" i="22"/>
  <c r="AD279" i="22"/>
  <c r="AH279" i="22"/>
  <c r="AJ279" i="22"/>
  <c r="AK279" i="22"/>
  <c r="AQ279" i="22"/>
  <c r="AR279" i="22"/>
  <c r="AS279" i="22"/>
  <c r="AT279" i="22"/>
  <c r="AV279" i="22"/>
  <c r="AY279" i="22"/>
  <c r="AZ279" i="22"/>
  <c r="BA279" i="22"/>
  <c r="BB279" i="22"/>
  <c r="BF279" i="22"/>
  <c r="BG279" i="22"/>
  <c r="BH279" i="22"/>
  <c r="BJ279" i="22"/>
  <c r="BR279" i="22"/>
  <c r="BT279" i="22"/>
  <c r="BZ279" i="22"/>
  <c r="A280" i="22"/>
  <c r="E609" i="22" s="1"/>
  <c r="B280" i="22"/>
  <c r="G280" i="22"/>
  <c r="H280" i="22"/>
  <c r="I280" i="22"/>
  <c r="J280" i="22"/>
  <c r="N280" i="22"/>
  <c r="P280" i="22"/>
  <c r="S280" i="22"/>
  <c r="T280" i="22"/>
  <c r="U280" i="22"/>
  <c r="V280" i="22"/>
  <c r="W280" i="22"/>
  <c r="X280" i="22"/>
  <c r="Y280" i="22"/>
  <c r="Z280" i="22"/>
  <c r="AG280" i="22"/>
  <c r="AH280" i="22"/>
  <c r="AI280" i="22"/>
  <c r="AL280" i="22"/>
  <c r="AM280" i="22"/>
  <c r="AN280" i="22"/>
  <c r="AO280" i="22"/>
  <c r="AP280" i="22"/>
  <c r="AS280" i="22"/>
  <c r="AU280" i="22"/>
  <c r="AV280" i="22"/>
  <c r="AW280" i="22"/>
  <c r="AX280" i="22"/>
  <c r="AZ280" i="22"/>
  <c r="BA280" i="22"/>
  <c r="BB280" i="22"/>
  <c r="BC280" i="22"/>
  <c r="BD280" i="22"/>
  <c r="BE280" i="22"/>
  <c r="BF280" i="22"/>
  <c r="BG280" i="22"/>
  <c r="BH280" i="22"/>
  <c r="BI280" i="22"/>
  <c r="BJ280" i="22"/>
  <c r="BK280" i="22"/>
  <c r="BL280" i="22"/>
  <c r="BM280" i="22"/>
  <c r="BN280" i="22"/>
  <c r="BO280" i="22"/>
  <c r="BP280" i="22"/>
  <c r="BQ280" i="22"/>
  <c r="BR280" i="22"/>
  <c r="BS280" i="22"/>
  <c r="BT280" i="22"/>
  <c r="BU280" i="22"/>
  <c r="BV280" i="22"/>
  <c r="BW280" i="22"/>
  <c r="BX280" i="22"/>
  <c r="BY280" i="22"/>
  <c r="BZ280" i="22"/>
  <c r="CA280" i="22"/>
  <c r="CB280" i="22"/>
  <c r="A281" i="22"/>
  <c r="E610" i="22" s="1"/>
  <c r="B281" i="22"/>
  <c r="C281" i="22"/>
  <c r="D281" i="22"/>
  <c r="E281" i="22"/>
  <c r="F281" i="22"/>
  <c r="G281" i="22"/>
  <c r="H281" i="22"/>
  <c r="I281" i="22"/>
  <c r="J281" i="22"/>
  <c r="K281" i="22"/>
  <c r="L281" i="22"/>
  <c r="M281" i="22"/>
  <c r="N281" i="22"/>
  <c r="O281" i="22"/>
  <c r="P281" i="22"/>
  <c r="Q281" i="22"/>
  <c r="R281" i="22"/>
  <c r="S281" i="22"/>
  <c r="T281" i="22"/>
  <c r="U281" i="22"/>
  <c r="V281" i="22"/>
  <c r="W281" i="22"/>
  <c r="X281" i="22"/>
  <c r="Y281" i="22"/>
  <c r="Z281" i="22"/>
  <c r="AA281" i="22"/>
  <c r="AB281" i="22"/>
  <c r="AC281" i="22"/>
  <c r="AD281" i="22"/>
  <c r="AE281" i="22"/>
  <c r="AF281" i="22"/>
  <c r="AG281" i="22"/>
  <c r="AH281" i="22"/>
  <c r="AI281" i="22"/>
  <c r="AJ281" i="22"/>
  <c r="AK281" i="22"/>
  <c r="AL281" i="22"/>
  <c r="AM281" i="22"/>
  <c r="AN281" i="22"/>
  <c r="AO281" i="22"/>
  <c r="AP281" i="22"/>
  <c r="AQ281" i="22"/>
  <c r="AR281" i="22"/>
  <c r="AS281" i="22"/>
  <c r="AT281" i="22"/>
  <c r="AU281" i="22"/>
  <c r="AV281" i="22"/>
  <c r="AW281" i="22"/>
  <c r="AX281" i="22"/>
  <c r="AY281" i="22"/>
  <c r="AZ281" i="22"/>
  <c r="BA281" i="22"/>
  <c r="BB281" i="22"/>
  <c r="BC281" i="22"/>
  <c r="BD281" i="22"/>
  <c r="BE281" i="22"/>
  <c r="BF281" i="22"/>
  <c r="BG281" i="22"/>
  <c r="BH281" i="22"/>
  <c r="BI281" i="22"/>
  <c r="BJ281" i="22"/>
  <c r="BK281" i="22"/>
  <c r="BL281" i="22"/>
  <c r="BM281" i="22"/>
  <c r="BN281" i="22"/>
  <c r="BO281" i="22"/>
  <c r="BP281" i="22"/>
  <c r="BQ281" i="22"/>
  <c r="BR281" i="22"/>
  <c r="BS281" i="22"/>
  <c r="BT281" i="22"/>
  <c r="BU281" i="22"/>
  <c r="BV281" i="22"/>
  <c r="BW281" i="22"/>
  <c r="BX281" i="22"/>
  <c r="BY281" i="22"/>
  <c r="BZ281" i="22"/>
  <c r="CA281" i="22"/>
  <c r="CB281" i="22"/>
  <c r="A282" i="22"/>
  <c r="E611" i="22" s="1"/>
  <c r="B282" i="22"/>
  <c r="C282" i="22"/>
  <c r="D282" i="22"/>
  <c r="E282" i="22"/>
  <c r="F282" i="22"/>
  <c r="G282" i="22"/>
  <c r="H282" i="22"/>
  <c r="I282" i="22"/>
  <c r="J282" i="22"/>
  <c r="K282" i="22"/>
  <c r="L282" i="22"/>
  <c r="M282" i="22"/>
  <c r="N282" i="22"/>
  <c r="O282" i="22"/>
  <c r="P282" i="22"/>
  <c r="Q282" i="22"/>
  <c r="R282" i="22"/>
  <c r="S282" i="22"/>
  <c r="T282" i="22"/>
  <c r="U282" i="22"/>
  <c r="V282" i="22"/>
  <c r="W282" i="22"/>
  <c r="X282" i="22"/>
  <c r="Y282" i="22"/>
  <c r="Z282" i="22"/>
  <c r="AA282" i="22"/>
  <c r="AB282" i="22"/>
  <c r="AC282" i="22"/>
  <c r="AD282" i="22"/>
  <c r="AE282" i="22"/>
  <c r="AF282" i="22"/>
  <c r="AG282" i="22"/>
  <c r="AH282" i="22"/>
  <c r="AI282" i="22"/>
  <c r="AJ282" i="22"/>
  <c r="AK282" i="22"/>
  <c r="AL282" i="22"/>
  <c r="AM282" i="22"/>
  <c r="AN282" i="22"/>
  <c r="AO282" i="22"/>
  <c r="AP282" i="22"/>
  <c r="AQ282" i="22"/>
  <c r="AR282" i="22"/>
  <c r="AS282" i="22"/>
  <c r="AT282" i="22"/>
  <c r="AU282" i="22"/>
  <c r="AV282" i="22"/>
  <c r="AW282" i="22"/>
  <c r="AX282" i="22"/>
  <c r="AY282" i="22"/>
  <c r="AZ282" i="22"/>
  <c r="BA282" i="22"/>
  <c r="BB282" i="22"/>
  <c r="BC282" i="22"/>
  <c r="BD282" i="22"/>
  <c r="BE282" i="22"/>
  <c r="BF282" i="22"/>
  <c r="BG282" i="22"/>
  <c r="BH282" i="22"/>
  <c r="BI282" i="22"/>
  <c r="BJ282" i="22"/>
  <c r="BK282" i="22"/>
  <c r="BL282" i="22"/>
  <c r="BM282" i="22"/>
  <c r="BN282" i="22"/>
  <c r="BO282" i="22"/>
  <c r="BP282" i="22"/>
  <c r="BQ282" i="22"/>
  <c r="BR282" i="22"/>
  <c r="BS282" i="22"/>
  <c r="BT282" i="22"/>
  <c r="BU282" i="22"/>
  <c r="BV282" i="22"/>
  <c r="BW282" i="22"/>
  <c r="BX282" i="22"/>
  <c r="BY282" i="22"/>
  <c r="BZ282" i="22"/>
  <c r="CA282" i="22"/>
  <c r="CB282" i="22"/>
  <c r="A283" i="22"/>
  <c r="B283" i="22"/>
  <c r="C283" i="22"/>
  <c r="D283" i="22"/>
  <c r="E283" i="22"/>
  <c r="F283" i="22"/>
  <c r="G283" i="22"/>
  <c r="H283" i="22"/>
  <c r="I283" i="22"/>
  <c r="J283" i="22"/>
  <c r="K283" i="22"/>
  <c r="L283" i="22"/>
  <c r="M283" i="22"/>
  <c r="N283" i="22"/>
  <c r="O283" i="22"/>
  <c r="P283" i="22"/>
  <c r="Q283" i="22"/>
  <c r="R283" i="22"/>
  <c r="S283" i="22"/>
  <c r="T283" i="22"/>
  <c r="U283" i="22"/>
  <c r="V283" i="22"/>
  <c r="W283" i="22"/>
  <c r="X283" i="22"/>
  <c r="Y283" i="22"/>
  <c r="Z283" i="22"/>
  <c r="AA283" i="22"/>
  <c r="AB283" i="22"/>
  <c r="AC283" i="22"/>
  <c r="AD283" i="22"/>
  <c r="AE283" i="22"/>
  <c r="AF283" i="22"/>
  <c r="AG283" i="22"/>
  <c r="AH283" i="22"/>
  <c r="AI283" i="22"/>
  <c r="AJ283" i="22"/>
  <c r="AK283" i="22"/>
  <c r="AL283" i="22"/>
  <c r="AM283" i="22"/>
  <c r="AN283" i="22"/>
  <c r="AO283" i="22"/>
  <c r="AP283" i="22"/>
  <c r="AQ283" i="22"/>
  <c r="AR283" i="22"/>
  <c r="AS283" i="22"/>
  <c r="AT283" i="22"/>
  <c r="AU283" i="22"/>
  <c r="AV283" i="22"/>
  <c r="AW283" i="22"/>
  <c r="AX283" i="22"/>
  <c r="AY283" i="22"/>
  <c r="AZ283" i="22"/>
  <c r="BA283" i="22"/>
  <c r="BB283" i="22"/>
  <c r="BC283" i="22"/>
  <c r="BD283" i="22"/>
  <c r="BE283" i="22"/>
  <c r="BF283" i="22"/>
  <c r="BG283" i="22"/>
  <c r="BH283" i="22"/>
  <c r="BI283" i="22"/>
  <c r="BJ283" i="22"/>
  <c r="BK283" i="22"/>
  <c r="BL283" i="22"/>
  <c r="BM283" i="22"/>
  <c r="BN283" i="22"/>
  <c r="BO283" i="22"/>
  <c r="BP283" i="22"/>
  <c r="BQ283" i="22"/>
  <c r="BR283" i="22"/>
  <c r="BS283" i="22"/>
  <c r="BT283" i="22"/>
  <c r="BU283" i="22"/>
  <c r="BV283" i="22"/>
  <c r="BW283" i="22"/>
  <c r="BX283" i="22"/>
  <c r="BY283" i="22"/>
  <c r="BZ283" i="22"/>
  <c r="CA283" i="22"/>
  <c r="CB283" i="22"/>
  <c r="A284" i="22"/>
  <c r="E613" i="22" s="1"/>
  <c r="B284" i="22"/>
  <c r="C284" i="22"/>
  <c r="D284" i="22"/>
  <c r="E284" i="22"/>
  <c r="F284" i="22"/>
  <c r="G284" i="22"/>
  <c r="H284" i="22"/>
  <c r="I284" i="22"/>
  <c r="J284" i="22"/>
  <c r="K284" i="22"/>
  <c r="L284" i="22"/>
  <c r="M284" i="22"/>
  <c r="N284" i="22"/>
  <c r="O284" i="22"/>
  <c r="P284" i="22"/>
  <c r="Q284" i="22"/>
  <c r="R284" i="22"/>
  <c r="S284" i="22"/>
  <c r="T284" i="22"/>
  <c r="U284" i="22"/>
  <c r="V284" i="22"/>
  <c r="W284" i="22"/>
  <c r="X284" i="22"/>
  <c r="Y284" i="22"/>
  <c r="Z284" i="22"/>
  <c r="AA284" i="22"/>
  <c r="AB284" i="22"/>
  <c r="AC284" i="22"/>
  <c r="AD284" i="22"/>
  <c r="AE284" i="22"/>
  <c r="AF284" i="22"/>
  <c r="AG284" i="22"/>
  <c r="AH284" i="22"/>
  <c r="AI284" i="22"/>
  <c r="AJ284" i="22"/>
  <c r="AK284" i="22"/>
  <c r="AL284" i="22"/>
  <c r="AM284" i="22"/>
  <c r="AN284" i="22"/>
  <c r="AO284" i="22"/>
  <c r="AP284" i="22"/>
  <c r="AQ284" i="22"/>
  <c r="AR284" i="22"/>
  <c r="AS284" i="22"/>
  <c r="AT284" i="22"/>
  <c r="AU284" i="22"/>
  <c r="AV284" i="22"/>
  <c r="AW284" i="22"/>
  <c r="AX284" i="22"/>
  <c r="AY284" i="22"/>
  <c r="AZ284" i="22"/>
  <c r="BA284" i="22"/>
  <c r="BB284" i="22"/>
  <c r="BC284" i="22"/>
  <c r="BD284" i="22"/>
  <c r="BE284" i="22"/>
  <c r="BF284" i="22"/>
  <c r="BG284" i="22"/>
  <c r="BH284" i="22"/>
  <c r="BI284" i="22"/>
  <c r="BJ284" i="22"/>
  <c r="BK284" i="22"/>
  <c r="BL284" i="22"/>
  <c r="BM284" i="22"/>
  <c r="BN284" i="22"/>
  <c r="BO284" i="22"/>
  <c r="BP284" i="22"/>
  <c r="BQ284" i="22"/>
  <c r="BR284" i="22"/>
  <c r="BS284" i="22"/>
  <c r="BT284" i="22"/>
  <c r="BU284" i="22"/>
  <c r="BZ284" i="22"/>
  <c r="CA284" i="22"/>
  <c r="B285" i="22"/>
  <c r="E614" i="22" s="1"/>
  <c r="D285" i="22"/>
  <c r="J285" i="22"/>
  <c r="O285" i="22"/>
  <c r="P285" i="22"/>
  <c r="Q285" i="22"/>
  <c r="V285" i="22"/>
  <c r="X285" i="22"/>
  <c r="AA285" i="22"/>
  <c r="AD285" i="22"/>
  <c r="AE285" i="22"/>
  <c r="AF285" i="22"/>
  <c r="AG285" i="22"/>
  <c r="AO285" i="22"/>
  <c r="AP285" i="22"/>
  <c r="AQ285" i="22"/>
  <c r="AR285" i="22"/>
  <c r="AU285" i="22"/>
  <c r="AV285" i="22"/>
  <c r="AX285" i="22"/>
  <c r="BG285" i="22"/>
  <c r="BI285" i="22"/>
  <c r="BJ285" i="22"/>
  <c r="BK285" i="22"/>
  <c r="BL285" i="22"/>
  <c r="BM285" i="22"/>
  <c r="BO285" i="22"/>
  <c r="BS285" i="22"/>
  <c r="BT285" i="22"/>
  <c r="BU285" i="22"/>
  <c r="BV285" i="22"/>
  <c r="BX285" i="22"/>
  <c r="BY285" i="22"/>
  <c r="BZ285" i="22"/>
  <c r="A286" i="22"/>
  <c r="E615" i="22" s="1"/>
  <c r="B286" i="22"/>
  <c r="D286" i="22"/>
  <c r="E286" i="22"/>
  <c r="F286" i="22"/>
  <c r="G286" i="22"/>
  <c r="H286" i="22"/>
  <c r="J286" i="22"/>
  <c r="M286" i="22"/>
  <c r="N286" i="22"/>
  <c r="O286" i="22"/>
  <c r="R286" i="22"/>
  <c r="T286" i="22"/>
  <c r="V286" i="22"/>
  <c r="Y286" i="22"/>
  <c r="Z286" i="22"/>
  <c r="AA286" i="22"/>
  <c r="AB286" i="22"/>
  <c r="AC286" i="22"/>
  <c r="AD286" i="22"/>
  <c r="AE286" i="22"/>
  <c r="AF286" i="22"/>
  <c r="AH286" i="22"/>
  <c r="AJ286" i="22"/>
  <c r="AN286" i="22"/>
  <c r="AO286" i="22"/>
  <c r="AP286" i="22"/>
  <c r="AQ286" i="22"/>
  <c r="AU286" i="22"/>
  <c r="AW286" i="22"/>
  <c r="AX286" i="22"/>
  <c r="BI286" i="22"/>
  <c r="BK286" i="22"/>
  <c r="BL286" i="22"/>
  <c r="BR286" i="22"/>
  <c r="BS286" i="22"/>
  <c r="BV286" i="22"/>
  <c r="BW286" i="22"/>
  <c r="BX286" i="22"/>
  <c r="BY286" i="22"/>
  <c r="BZ286" i="22"/>
  <c r="CA286" i="22"/>
  <c r="CB286" i="22"/>
  <c r="A287" i="22"/>
  <c r="E616" i="22" s="1"/>
  <c r="C287" i="22"/>
  <c r="D287" i="22"/>
  <c r="I287" i="22"/>
  <c r="K287" i="22"/>
  <c r="L287" i="22"/>
  <c r="M287" i="22"/>
  <c r="N287" i="22"/>
  <c r="Q287" i="22"/>
  <c r="S287" i="22"/>
  <c r="U287" i="22"/>
  <c r="V287" i="22"/>
  <c r="W287" i="22"/>
  <c r="Y287" i="22"/>
  <c r="AB287" i="22"/>
  <c r="AC287" i="22"/>
  <c r="AE287" i="22"/>
  <c r="AF287" i="22"/>
  <c r="AI287" i="22"/>
  <c r="AJ287" i="22"/>
  <c r="AK287" i="22"/>
  <c r="AM287" i="22"/>
  <c r="AN287" i="22"/>
  <c r="AQ287" i="22"/>
  <c r="AR287" i="22"/>
  <c r="AX287" i="22"/>
  <c r="AY287" i="22"/>
  <c r="BF287" i="22"/>
  <c r="BR287" i="22"/>
  <c r="BS287" i="22"/>
  <c r="BT287" i="22"/>
  <c r="BU287" i="22"/>
  <c r="BX287" i="22"/>
  <c r="BY287" i="22"/>
  <c r="BZ287" i="22"/>
  <c r="CA287" i="22"/>
  <c r="A288" i="22"/>
  <c r="E617" i="22" s="1"/>
  <c r="B288" i="22"/>
  <c r="D288" i="22"/>
  <c r="E288" i="22"/>
  <c r="F288" i="22"/>
  <c r="G288" i="22"/>
  <c r="H288" i="22"/>
  <c r="M288" i="22"/>
  <c r="N288" i="22"/>
  <c r="O288" i="22"/>
  <c r="T288" i="22"/>
  <c r="V288" i="22"/>
  <c r="X288" i="22"/>
  <c r="AE288" i="22"/>
  <c r="AF288" i="22"/>
  <c r="AG288" i="22"/>
  <c r="AH288" i="22"/>
  <c r="AI288" i="22"/>
  <c r="AJ288" i="22"/>
  <c r="AK288" i="22"/>
  <c r="AN288" i="22"/>
  <c r="AP288" i="22"/>
  <c r="AR288" i="22"/>
  <c r="AS288" i="22"/>
  <c r="AT288" i="22"/>
  <c r="BA288" i="22"/>
  <c r="BC288" i="22"/>
  <c r="BE288" i="22"/>
  <c r="BF288" i="22"/>
  <c r="BG288" i="22"/>
  <c r="BH288" i="22"/>
  <c r="BI288" i="22"/>
  <c r="BJ288" i="22"/>
  <c r="BK288" i="22"/>
  <c r="BL288" i="22"/>
  <c r="BM288" i="22"/>
  <c r="BN288" i="22"/>
  <c r="BR288" i="22"/>
  <c r="BS288" i="22"/>
  <c r="BU288" i="22"/>
  <c r="BX288" i="22"/>
  <c r="BZ288" i="22"/>
  <c r="CA288" i="22"/>
  <c r="CB288" i="22"/>
  <c r="D289" i="22"/>
  <c r="E618" i="22" s="1"/>
  <c r="E289" i="22"/>
  <c r="F289" i="22"/>
  <c r="G289" i="22"/>
  <c r="H289" i="22"/>
  <c r="I289" i="22"/>
  <c r="J289" i="22"/>
  <c r="K289" i="22"/>
  <c r="L289" i="22"/>
  <c r="M289" i="22"/>
  <c r="N289" i="22"/>
  <c r="O289" i="22"/>
  <c r="P289" i="22"/>
  <c r="Q289" i="22"/>
  <c r="R289" i="22"/>
  <c r="S289" i="22"/>
  <c r="T289" i="22"/>
  <c r="U289" i="22"/>
  <c r="V289" i="22"/>
  <c r="W289" i="22"/>
  <c r="X289" i="22"/>
  <c r="Z289" i="22"/>
  <c r="AA289" i="22"/>
  <c r="AB289" i="22"/>
  <c r="AC289" i="22"/>
  <c r="AD289" i="22"/>
  <c r="AE289" i="22"/>
  <c r="AF289" i="22"/>
  <c r="AG289" i="22"/>
  <c r="AH289" i="22"/>
  <c r="AI289" i="22"/>
  <c r="AJ289" i="22"/>
  <c r="AK289" i="22"/>
  <c r="AL289" i="22"/>
  <c r="AM289" i="22"/>
  <c r="AN289" i="22"/>
  <c r="AO289" i="22"/>
  <c r="AP289" i="22"/>
  <c r="AQ289" i="22"/>
  <c r="AR289" i="22"/>
  <c r="AS289" i="22"/>
  <c r="AT289" i="22"/>
  <c r="AU289" i="22"/>
  <c r="AV289" i="22"/>
  <c r="AW289" i="22"/>
  <c r="AX289" i="22"/>
  <c r="AY289" i="22"/>
  <c r="AZ289" i="22"/>
  <c r="BA289" i="22"/>
  <c r="BB289" i="22"/>
  <c r="BC289" i="22"/>
  <c r="BD289" i="22"/>
  <c r="BE289" i="22"/>
  <c r="BF289" i="22"/>
  <c r="BG289" i="22"/>
  <c r="BH289" i="22"/>
  <c r="BI289" i="22"/>
  <c r="BJ289" i="22"/>
  <c r="BK289" i="22"/>
  <c r="BL289" i="22"/>
  <c r="BM289" i="22"/>
  <c r="BN289" i="22"/>
  <c r="BO289" i="22"/>
  <c r="BP289" i="22"/>
  <c r="BQ289" i="22"/>
  <c r="BR289" i="22"/>
  <c r="BS289" i="22"/>
  <c r="BT289" i="22"/>
  <c r="BU289" i="22"/>
  <c r="BV289" i="22"/>
  <c r="BW289" i="22"/>
  <c r="BX289" i="22"/>
  <c r="BY289" i="22"/>
  <c r="BZ289" i="22"/>
  <c r="CA289" i="22"/>
  <c r="CB289" i="22"/>
  <c r="A290" i="22"/>
  <c r="E619" i="22" s="1"/>
  <c r="B290" i="22"/>
  <c r="C290" i="22"/>
  <c r="D290" i="22"/>
  <c r="E290" i="22"/>
  <c r="F290" i="22"/>
  <c r="G290" i="22"/>
  <c r="H290" i="22"/>
  <c r="I290" i="22"/>
  <c r="J290" i="22"/>
  <c r="K290" i="22"/>
  <c r="L290" i="22"/>
  <c r="M290" i="22"/>
  <c r="N290" i="22"/>
  <c r="O290" i="22"/>
  <c r="P290" i="22"/>
  <c r="Q290" i="22"/>
  <c r="R290" i="22"/>
  <c r="S290" i="22"/>
  <c r="T290" i="22"/>
  <c r="U290" i="22"/>
  <c r="V290" i="22"/>
  <c r="W290" i="22"/>
  <c r="X290" i="22"/>
  <c r="Y290" i="22"/>
  <c r="Z290" i="22"/>
  <c r="AA290" i="22"/>
  <c r="AB290" i="22"/>
  <c r="AC290" i="22"/>
  <c r="AD290" i="22"/>
  <c r="AE290" i="22"/>
  <c r="AF290" i="22"/>
  <c r="AG290" i="22"/>
  <c r="AH290" i="22"/>
  <c r="AI290" i="22"/>
  <c r="AJ290" i="22"/>
  <c r="AK290" i="22"/>
  <c r="AL290" i="22"/>
  <c r="AM290" i="22"/>
  <c r="AN290" i="22"/>
  <c r="AO290" i="22"/>
  <c r="AP290" i="22"/>
  <c r="AQ290" i="22"/>
  <c r="AR290" i="22"/>
  <c r="AS290" i="22"/>
  <c r="AT290" i="22"/>
  <c r="AU290" i="22"/>
  <c r="AV290" i="22"/>
  <c r="AW290" i="22"/>
  <c r="AX290" i="22"/>
  <c r="AY290" i="22"/>
  <c r="AZ290" i="22"/>
  <c r="BA290" i="22"/>
  <c r="BB290" i="22"/>
  <c r="BC290" i="22"/>
  <c r="BD290" i="22"/>
  <c r="BE290" i="22"/>
  <c r="BF290" i="22"/>
  <c r="BG290" i="22"/>
  <c r="BH290" i="22"/>
  <c r="BI290" i="22"/>
  <c r="BJ290" i="22"/>
  <c r="BK290" i="22"/>
  <c r="BL290" i="22"/>
  <c r="BM290" i="22"/>
  <c r="BN290" i="22"/>
  <c r="BO290" i="22"/>
  <c r="BP290" i="22"/>
  <c r="BQ290" i="22"/>
  <c r="BR290" i="22"/>
  <c r="BS290" i="22"/>
  <c r="BT290" i="22"/>
  <c r="BU290" i="22"/>
  <c r="BV290" i="22"/>
  <c r="BW290" i="22"/>
  <c r="BX290" i="22"/>
  <c r="BY290" i="22"/>
  <c r="BZ290" i="22"/>
  <c r="CA290" i="22"/>
  <c r="CB290" i="22"/>
  <c r="A291" i="22"/>
  <c r="E620" i="22" s="1"/>
  <c r="B291" i="22"/>
  <c r="C291" i="22"/>
  <c r="D291" i="22"/>
  <c r="E291" i="22"/>
  <c r="F291" i="22"/>
  <c r="G291" i="22"/>
  <c r="H291" i="22"/>
  <c r="I291" i="22"/>
  <c r="J291" i="22"/>
  <c r="K291" i="22"/>
  <c r="L291" i="22"/>
  <c r="M291" i="22"/>
  <c r="N291" i="22"/>
  <c r="O291" i="22"/>
  <c r="P291" i="22"/>
  <c r="Q291" i="22"/>
  <c r="R291" i="22"/>
  <c r="S291" i="22"/>
  <c r="T291" i="22"/>
  <c r="U291" i="22"/>
  <c r="V291" i="22"/>
  <c r="W291" i="22"/>
  <c r="X291" i="22"/>
  <c r="Y291" i="22"/>
  <c r="Z291" i="22"/>
  <c r="AA291" i="22"/>
  <c r="AB291" i="22"/>
  <c r="AC291" i="22"/>
  <c r="AD291" i="22"/>
  <c r="AE291" i="22"/>
  <c r="AF291" i="22"/>
  <c r="AG291" i="22"/>
  <c r="AH291" i="22"/>
  <c r="AI291" i="22"/>
  <c r="AJ291" i="22"/>
  <c r="AK291" i="22"/>
  <c r="AL291" i="22"/>
  <c r="AM291" i="22"/>
  <c r="AN291" i="22"/>
  <c r="AO291" i="22"/>
  <c r="AP291" i="22"/>
  <c r="AQ291" i="22"/>
  <c r="AR291" i="22"/>
  <c r="AS291" i="22"/>
  <c r="AT291" i="22"/>
  <c r="AU291" i="22"/>
  <c r="AV291" i="22"/>
  <c r="AW291" i="22"/>
  <c r="AX291" i="22"/>
  <c r="AY291" i="22"/>
  <c r="AZ291" i="22"/>
  <c r="BA291" i="22"/>
  <c r="BB291" i="22"/>
  <c r="BC291" i="22"/>
  <c r="BD291" i="22"/>
  <c r="BE291" i="22"/>
  <c r="BF291" i="22"/>
  <c r="BG291" i="22"/>
  <c r="BH291" i="22"/>
  <c r="BI291" i="22"/>
  <c r="BJ291" i="22"/>
  <c r="BK291" i="22"/>
  <c r="BL291" i="22"/>
  <c r="BM291" i="22"/>
  <c r="BN291" i="22"/>
  <c r="BO291" i="22"/>
  <c r="BP291" i="22"/>
  <c r="BQ291" i="22"/>
  <c r="BR291" i="22"/>
  <c r="BS291" i="22"/>
  <c r="BT291" i="22"/>
  <c r="BU291" i="22"/>
  <c r="BV291" i="22"/>
  <c r="BW291" i="22"/>
  <c r="BX291" i="22"/>
  <c r="BY291" i="22"/>
  <c r="BZ291" i="22"/>
  <c r="CA291" i="22"/>
  <c r="CB291" i="22"/>
  <c r="A292" i="22"/>
  <c r="E621" i="22" s="1"/>
  <c r="B292" i="22"/>
  <c r="C292" i="22"/>
  <c r="D292" i="22"/>
  <c r="E292" i="22"/>
  <c r="F292" i="22"/>
  <c r="G292" i="22"/>
  <c r="H292" i="22"/>
  <c r="I292" i="22"/>
  <c r="J292" i="22"/>
  <c r="K292" i="22"/>
  <c r="L292" i="22"/>
  <c r="M292" i="22"/>
  <c r="N292" i="22"/>
  <c r="O292" i="22"/>
  <c r="P292" i="22"/>
  <c r="Q292" i="22"/>
  <c r="R292" i="22"/>
  <c r="S292" i="22"/>
  <c r="T292" i="22"/>
  <c r="U292" i="22"/>
  <c r="V292" i="22"/>
  <c r="W292" i="22"/>
  <c r="X292" i="22"/>
  <c r="Y292" i="22"/>
  <c r="Z292" i="22"/>
  <c r="AA292" i="22"/>
  <c r="AB292" i="22"/>
  <c r="AC292" i="22"/>
  <c r="AD292" i="22"/>
  <c r="AE292" i="22"/>
  <c r="AF292" i="22"/>
  <c r="AG292" i="22"/>
  <c r="AH292" i="22"/>
  <c r="AI292" i="22"/>
  <c r="AJ292" i="22"/>
  <c r="AK292" i="22"/>
  <c r="AL292" i="22"/>
  <c r="AM292" i="22"/>
  <c r="AN292" i="22"/>
  <c r="AO292" i="22"/>
  <c r="AP292" i="22"/>
  <c r="AQ292" i="22"/>
  <c r="AR292" i="22"/>
  <c r="AS292" i="22"/>
  <c r="AT292" i="22"/>
  <c r="AU292" i="22"/>
  <c r="AV292" i="22"/>
  <c r="AW292" i="22"/>
  <c r="AX292" i="22"/>
  <c r="AY292" i="22"/>
  <c r="AZ292" i="22"/>
  <c r="BA292" i="22"/>
  <c r="BB292" i="22"/>
  <c r="BC292" i="22"/>
  <c r="BD292" i="22"/>
  <c r="BE292" i="22"/>
  <c r="BF292" i="22"/>
  <c r="BG292" i="22"/>
  <c r="BH292" i="22"/>
  <c r="BI292" i="22"/>
  <c r="BJ292" i="22"/>
  <c r="BK292" i="22"/>
  <c r="BL292" i="22"/>
  <c r="BM292" i="22"/>
  <c r="BN292" i="22"/>
  <c r="BO292" i="22"/>
  <c r="BP292" i="22"/>
  <c r="BQ292" i="22"/>
  <c r="BR292" i="22"/>
  <c r="BS292" i="22"/>
  <c r="BT292" i="22"/>
  <c r="BU292" i="22"/>
  <c r="BV292" i="22"/>
  <c r="BW292" i="22"/>
  <c r="BX292" i="22"/>
  <c r="BY292" i="22"/>
  <c r="BZ292" i="22"/>
  <c r="CA292" i="22"/>
  <c r="CB292" i="22"/>
  <c r="A293" i="22"/>
  <c r="E622" i="22" s="1"/>
  <c r="B293" i="22"/>
  <c r="C293" i="22"/>
  <c r="D293" i="22"/>
  <c r="E293" i="22"/>
  <c r="F293" i="22"/>
  <c r="G293" i="22"/>
  <c r="H293" i="22"/>
  <c r="I293" i="22"/>
  <c r="J293" i="22"/>
  <c r="K293" i="22"/>
  <c r="L293" i="22"/>
  <c r="M293" i="22"/>
  <c r="N293" i="22"/>
  <c r="O293" i="22"/>
  <c r="P293" i="22"/>
  <c r="Q293" i="22"/>
  <c r="R293" i="22"/>
  <c r="S293" i="22"/>
  <c r="T293" i="22"/>
  <c r="U293" i="22"/>
  <c r="V293" i="22"/>
  <c r="W293" i="22"/>
  <c r="X293" i="22"/>
  <c r="Y293" i="22"/>
  <c r="Z293" i="22"/>
  <c r="AA293" i="22"/>
  <c r="AB293" i="22"/>
  <c r="AC293" i="22"/>
  <c r="AD293" i="22"/>
  <c r="AE293" i="22"/>
  <c r="AF293" i="22"/>
  <c r="AG293" i="22"/>
  <c r="AH293" i="22"/>
  <c r="AI293" i="22"/>
  <c r="AN310" i="22"/>
  <c r="AO310" i="22"/>
  <c r="AP310" i="22"/>
  <c r="AQ310" i="22"/>
  <c r="AR310" i="22"/>
  <c r="AS310" i="22"/>
  <c r="AT310" i="22"/>
  <c r="AU310" i="22"/>
  <c r="AV310" i="22"/>
  <c r="AW310" i="22"/>
  <c r="AX310" i="22"/>
  <c r="AY310" i="22"/>
  <c r="AZ310" i="22"/>
  <c r="BA310" i="22"/>
  <c r="BB310" i="22"/>
  <c r="BC310" i="22"/>
  <c r="BD310" i="22"/>
  <c r="BE310" i="22"/>
  <c r="BF310" i="22"/>
  <c r="BG310" i="22"/>
  <c r="BH310" i="22"/>
  <c r="BI310" i="22"/>
  <c r="BJ310" i="22"/>
  <c r="BK310" i="22"/>
  <c r="BL310" i="22"/>
  <c r="BM310" i="22"/>
  <c r="BN310" i="22"/>
  <c r="BP310" i="22"/>
  <c r="BQ310" i="22"/>
  <c r="BR310" i="22"/>
  <c r="BS310" i="22"/>
  <c r="BT310" i="22"/>
  <c r="BU310" i="22"/>
  <c r="BV310" i="22"/>
  <c r="BW310" i="22"/>
  <c r="BX310" i="22"/>
  <c r="BY310" i="22"/>
  <c r="BZ310" i="22"/>
  <c r="CA310" i="22"/>
  <c r="CB310" i="22"/>
  <c r="A311" i="22"/>
  <c r="E640" i="22" s="1"/>
  <c r="B311" i="22"/>
  <c r="C311" i="22"/>
  <c r="D311" i="22"/>
  <c r="E311" i="22"/>
  <c r="F311" i="22"/>
  <c r="G311" i="22"/>
  <c r="H311" i="22"/>
  <c r="I311" i="22"/>
  <c r="J311" i="22"/>
  <c r="K311" i="22"/>
  <c r="L311" i="22"/>
  <c r="M311" i="22"/>
  <c r="N311" i="22"/>
  <c r="O311" i="22"/>
  <c r="P311" i="22"/>
  <c r="Q311" i="22"/>
  <c r="R311" i="22"/>
  <c r="S311" i="22"/>
  <c r="T311" i="22"/>
  <c r="U311" i="22"/>
  <c r="V311" i="22"/>
  <c r="W311" i="22"/>
  <c r="X311" i="22"/>
  <c r="Y311" i="22"/>
  <c r="Z311" i="22"/>
  <c r="AA311" i="22"/>
  <c r="AB311" i="22"/>
  <c r="AC311" i="22"/>
  <c r="AD311" i="22"/>
  <c r="AE311" i="22"/>
  <c r="AF311" i="22"/>
  <c r="AG311" i="22"/>
  <c r="AH311" i="22"/>
  <c r="AI311" i="22"/>
  <c r="AJ311" i="22"/>
  <c r="AK311" i="22"/>
  <c r="AL311" i="22"/>
  <c r="AM311" i="22"/>
  <c r="AN311" i="22"/>
  <c r="AO311" i="22"/>
  <c r="AP311" i="22"/>
  <c r="AQ311" i="22"/>
  <c r="AR311" i="22"/>
  <c r="AS311" i="22"/>
  <c r="AT311" i="22"/>
  <c r="AU311" i="22"/>
  <c r="AV311" i="22"/>
  <c r="AW311" i="22"/>
  <c r="AX311" i="22"/>
  <c r="AY311" i="22"/>
  <c r="AZ311" i="22"/>
  <c r="BA311" i="22"/>
  <c r="BB311" i="22"/>
  <c r="BC311" i="22"/>
  <c r="BD311" i="22"/>
  <c r="BE311" i="22"/>
  <c r="BF311" i="22"/>
  <c r="BG311" i="22"/>
  <c r="BH311" i="22"/>
  <c r="BI311" i="22"/>
  <c r="BJ311" i="22"/>
  <c r="BK311" i="22"/>
  <c r="BL311" i="22"/>
  <c r="BM311" i="22"/>
  <c r="BN311" i="22"/>
  <c r="BO311" i="22"/>
  <c r="BP311" i="22"/>
  <c r="BQ311" i="22"/>
  <c r="BR311" i="22"/>
  <c r="BS311" i="22"/>
  <c r="BT311" i="22"/>
  <c r="BU311" i="22"/>
  <c r="BV311" i="22"/>
  <c r="BW311" i="22"/>
  <c r="BX311" i="22"/>
  <c r="BY311" i="22"/>
  <c r="BZ311" i="22"/>
  <c r="CA311" i="22"/>
  <c r="CB311" i="22"/>
  <c r="A312" i="22"/>
  <c r="E641" i="22" s="1"/>
  <c r="B312" i="22"/>
  <c r="C312" i="22"/>
  <c r="D312" i="22"/>
  <c r="E312" i="22"/>
  <c r="F312" i="22"/>
  <c r="G312" i="22"/>
  <c r="H312" i="22"/>
  <c r="I312" i="22"/>
  <c r="J312" i="22"/>
  <c r="K312" i="22"/>
  <c r="L312" i="22"/>
  <c r="M312" i="22"/>
  <c r="N312" i="22"/>
  <c r="O312" i="22"/>
  <c r="P312" i="22"/>
  <c r="Q312" i="22"/>
  <c r="R312" i="22"/>
  <c r="S312" i="22"/>
  <c r="T312" i="22"/>
  <c r="U312" i="22"/>
  <c r="V312" i="22"/>
  <c r="W312" i="22"/>
  <c r="X312" i="22"/>
  <c r="Y312" i="22"/>
  <c r="Z312" i="22"/>
  <c r="AA312" i="22"/>
  <c r="AB312" i="22"/>
  <c r="AC312" i="22"/>
  <c r="AD312" i="22"/>
  <c r="AE312" i="22"/>
  <c r="AF312" i="22"/>
  <c r="AG312" i="22"/>
  <c r="AH312" i="22"/>
  <c r="AI312" i="22"/>
  <c r="AJ312" i="22"/>
  <c r="AK312" i="22"/>
  <c r="AL312" i="22"/>
  <c r="AM312" i="22"/>
  <c r="AN312" i="22"/>
  <c r="AO312" i="22"/>
  <c r="AP312" i="22"/>
  <c r="AQ312" i="22"/>
  <c r="AR312" i="22"/>
  <c r="AS312" i="22"/>
  <c r="AT312" i="22"/>
  <c r="AU312" i="22"/>
  <c r="AV312" i="22"/>
  <c r="AW312" i="22"/>
  <c r="AX312" i="22"/>
  <c r="AY312" i="22"/>
  <c r="AZ312" i="22"/>
  <c r="BA312" i="22"/>
  <c r="BB312" i="22"/>
  <c r="BC312" i="22"/>
  <c r="BD312" i="22"/>
  <c r="BE312" i="22"/>
  <c r="BF312" i="22"/>
  <c r="BG312" i="22"/>
  <c r="BH312" i="22"/>
  <c r="BI312" i="22"/>
  <c r="BJ312" i="22"/>
  <c r="BK312" i="22"/>
  <c r="BL312" i="22"/>
  <c r="BM312" i="22"/>
  <c r="BN312" i="22"/>
  <c r="BO312" i="22"/>
  <c r="BP312" i="22"/>
  <c r="BQ312" i="22"/>
  <c r="BR312" i="22"/>
  <c r="BS312" i="22"/>
  <c r="BT312" i="22"/>
  <c r="BU312" i="22"/>
  <c r="BV312" i="22"/>
  <c r="BW312" i="22"/>
  <c r="BX312" i="22"/>
  <c r="BY312" i="22"/>
  <c r="BZ312" i="22"/>
  <c r="CA312" i="22"/>
  <c r="CB312" i="22"/>
  <c r="A313" i="22"/>
  <c r="E642" i="22" s="1"/>
  <c r="B313" i="22"/>
  <c r="C313" i="22"/>
  <c r="D313" i="22"/>
  <c r="E313" i="22"/>
  <c r="F313" i="22"/>
  <c r="G313" i="22"/>
  <c r="H313" i="22"/>
  <c r="I313" i="22"/>
  <c r="J313" i="22"/>
  <c r="K313" i="22"/>
  <c r="L313" i="22"/>
  <c r="M313" i="22"/>
  <c r="N313" i="22"/>
  <c r="O313" i="22"/>
  <c r="P313" i="22"/>
  <c r="CA321" i="22"/>
  <c r="V323" i="22"/>
  <c r="W323" i="22"/>
  <c r="X323" i="22"/>
  <c r="Y323" i="22"/>
  <c r="Z323" i="22"/>
  <c r="AA323" i="22"/>
  <c r="AB323" i="22"/>
  <c r="AC323" i="22"/>
  <c r="AD323" i="22"/>
  <c r="AE323" i="22"/>
  <c r="AF323" i="22"/>
  <c r="AG323" i="22"/>
  <c r="AH323" i="22"/>
  <c r="AI323" i="22"/>
  <c r="AJ323" i="22"/>
  <c r="AK323" i="22"/>
  <c r="AL323" i="22"/>
  <c r="AM323" i="22"/>
  <c r="AN323" i="22"/>
  <c r="AO323" i="22"/>
  <c r="AP323" i="22"/>
  <c r="AQ323" i="22"/>
  <c r="AR323" i="22"/>
  <c r="AS323" i="22"/>
  <c r="AT323" i="22"/>
  <c r="AU323" i="22"/>
  <c r="AV323" i="22"/>
  <c r="AW323" i="22"/>
  <c r="AX323" i="22"/>
  <c r="AY323" i="22"/>
  <c r="AZ323" i="22"/>
  <c r="BA323" i="22"/>
  <c r="BB323" i="22"/>
  <c r="BC323" i="22"/>
  <c r="BD323" i="22"/>
  <c r="BE323" i="22"/>
  <c r="BF323" i="22"/>
  <c r="BG323" i="22"/>
  <c r="BH323" i="22"/>
  <c r="BI323" i="22"/>
  <c r="BJ323" i="22"/>
  <c r="BK323" i="22"/>
  <c r="BL323" i="22"/>
  <c r="BM323" i="22"/>
  <c r="BN323" i="22"/>
  <c r="BO323" i="22"/>
  <c r="BP323" i="22"/>
  <c r="BQ323" i="22"/>
  <c r="BR323" i="22"/>
  <c r="BS323" i="22"/>
  <c r="BT323" i="22"/>
  <c r="BU323" i="22"/>
  <c r="BV323" i="22"/>
  <c r="BW323" i="22"/>
  <c r="BX323" i="22"/>
  <c r="BY323" i="22"/>
  <c r="BZ323" i="22"/>
  <c r="CA323" i="22"/>
  <c r="CB323" i="22"/>
  <c r="A324" i="22"/>
  <c r="E653" i="22" s="1"/>
  <c r="B324" i="22"/>
  <c r="C324" i="22"/>
  <c r="D324" i="22"/>
  <c r="E324" i="22"/>
  <c r="F324" i="22"/>
  <c r="G324" i="22"/>
  <c r="H324" i="22"/>
  <c r="I324" i="22"/>
  <c r="J324" i="22"/>
  <c r="K324" i="22"/>
  <c r="L324" i="22"/>
  <c r="M324" i="22"/>
  <c r="N324" i="22"/>
  <c r="O324" i="22"/>
  <c r="P324" i="22"/>
  <c r="Q324" i="22"/>
  <c r="R324" i="22"/>
  <c r="S324" i="22"/>
  <c r="T324" i="22"/>
  <c r="U324" i="22"/>
  <c r="V324" i="22"/>
  <c r="W324" i="22"/>
  <c r="X324" i="22"/>
  <c r="Y324" i="22"/>
  <c r="Z324" i="22"/>
  <c r="AA324" i="22"/>
  <c r="AB324" i="22"/>
  <c r="AC324" i="22"/>
  <c r="AD324" i="22"/>
  <c r="AE324" i="22"/>
  <c r="AF324" i="22"/>
  <c r="AG324" i="22"/>
  <c r="AH324" i="22"/>
  <c r="AI324" i="22"/>
  <c r="AJ324" i="22"/>
  <c r="AK324" i="22"/>
  <c r="AL324" i="22"/>
  <c r="AM324" i="22"/>
  <c r="AO324" i="22"/>
  <c r="AP324" i="22"/>
  <c r="AQ324" i="22"/>
  <c r="AR324" i="22"/>
  <c r="AU324" i="22"/>
  <c r="BC324" i="22"/>
  <c r="BD324" i="22"/>
  <c r="BE324" i="22"/>
  <c r="BF324" i="22"/>
  <c r="BG324" i="22"/>
  <c r="BN324" i="22"/>
  <c r="BP324" i="22"/>
  <c r="BT324" i="22"/>
  <c r="BX324" i="22"/>
  <c r="BY324" i="22"/>
  <c r="CA324" i="22"/>
  <c r="A325" i="22"/>
  <c r="E654" i="22" s="1"/>
  <c r="C325" i="22"/>
  <c r="D325" i="22"/>
  <c r="E325" i="22"/>
  <c r="I325" i="22"/>
  <c r="J325" i="22"/>
  <c r="K325" i="22"/>
  <c r="L325" i="22"/>
  <c r="N325" i="22"/>
  <c r="O325" i="22"/>
  <c r="P325" i="22"/>
  <c r="T325" i="22"/>
  <c r="V325" i="22"/>
  <c r="AA325" i="22"/>
  <c r="AB325" i="22"/>
  <c r="AC325" i="22"/>
  <c r="AG325" i="22"/>
  <c r="AH325" i="22"/>
  <c r="AI325" i="22"/>
  <c r="AJ325" i="22"/>
  <c r="AK325" i="22"/>
  <c r="AO325" i="22"/>
  <c r="AV325" i="22"/>
  <c r="AW325" i="22"/>
  <c r="AY325" i="22"/>
  <c r="AZ325" i="22"/>
  <c r="BA325" i="22"/>
  <c r="BB325" i="22"/>
  <c r="BC325" i="22"/>
  <c r="BD325" i="22"/>
  <c r="BH325" i="22"/>
  <c r="BI325" i="22"/>
  <c r="BK325" i="22"/>
  <c r="BO325" i="22"/>
  <c r="BP325" i="22"/>
  <c r="BT325" i="22"/>
  <c r="BU325" i="22"/>
  <c r="BW325" i="22"/>
  <c r="BY325" i="22"/>
  <c r="BZ325" i="22"/>
  <c r="CA325" i="22"/>
  <c r="CB325" i="22"/>
  <c r="B326" i="22"/>
  <c r="F326" i="22"/>
  <c r="H326" i="22"/>
  <c r="I326" i="22"/>
  <c r="J326" i="22"/>
  <c r="N326" i="22"/>
  <c r="O326" i="22"/>
  <c r="P326" i="22"/>
  <c r="Q326" i="22"/>
  <c r="R326" i="22"/>
  <c r="S326" i="22"/>
  <c r="T326" i="22"/>
  <c r="V326" i="22"/>
  <c r="X326" i="22"/>
  <c r="Z326" i="22"/>
  <c r="BX326" i="22"/>
  <c r="BY326" i="22"/>
  <c r="BZ326" i="22"/>
  <c r="CA326" i="22"/>
  <c r="CB326" i="22"/>
  <c r="A327" i="22"/>
  <c r="E656" i="22" s="1"/>
  <c r="B327" i="22"/>
  <c r="C327" i="22"/>
  <c r="D327" i="22"/>
  <c r="E327" i="22"/>
  <c r="F327" i="22"/>
  <c r="G327" i="22"/>
  <c r="H327" i="22"/>
  <c r="I327" i="22"/>
  <c r="J327" i="22"/>
  <c r="K327" i="22"/>
  <c r="L327" i="22"/>
  <c r="M327" i="22"/>
  <c r="N327" i="22"/>
  <c r="O327" i="22"/>
  <c r="P327" i="22"/>
  <c r="Q327" i="22"/>
  <c r="R327" i="22"/>
  <c r="S327" i="22"/>
  <c r="T327" i="22"/>
  <c r="U327" i="22"/>
  <c r="V327" i="22"/>
  <c r="W327" i="22"/>
  <c r="X327" i="22"/>
  <c r="Y327" i="22"/>
  <c r="Z327" i="22"/>
  <c r="AA327" i="22"/>
  <c r="AB327" i="22"/>
  <c r="AC327" i="22"/>
  <c r="AD327" i="22"/>
  <c r="AE327" i="22"/>
  <c r="AF327" i="22"/>
  <c r="AG327" i="22"/>
  <c r="AH327" i="22"/>
  <c r="AI327" i="22"/>
  <c r="AJ327" i="22"/>
  <c r="AK327" i="22"/>
  <c r="AL327" i="22"/>
  <c r="AM327" i="22"/>
  <c r="AN327" i="22"/>
  <c r="AO327" i="22"/>
  <c r="AP327" i="22"/>
  <c r="AQ327" i="22"/>
  <c r="AR327" i="22"/>
  <c r="AS327" i="22"/>
  <c r="AT327" i="22"/>
  <c r="AU327" i="22"/>
  <c r="AV327" i="22"/>
  <c r="AW327" i="22"/>
  <c r="AX327" i="22"/>
  <c r="AY327" i="22"/>
  <c r="AZ327" i="22"/>
  <c r="BA327" i="22"/>
  <c r="BB327" i="22"/>
  <c r="BC327" i="22"/>
  <c r="BD327" i="22"/>
  <c r="BE327" i="22"/>
  <c r="BF327" i="22"/>
  <c r="BG327" i="22"/>
  <c r="BH327" i="22"/>
  <c r="BI327" i="22"/>
  <c r="BJ327" i="22"/>
  <c r="BK327" i="22"/>
  <c r="BL327" i="22"/>
  <c r="BM327" i="22"/>
  <c r="BN327" i="22"/>
  <c r="BO327" i="22"/>
  <c r="BP327" i="22"/>
  <c r="BQ327" i="22"/>
  <c r="BR327" i="22"/>
  <c r="BS327" i="22"/>
  <c r="BT327" i="22"/>
  <c r="BU327" i="22"/>
  <c r="BV327" i="22"/>
  <c r="BW327" i="22"/>
  <c r="BX327" i="22"/>
  <c r="BM334" i="22"/>
  <c r="BZ327" i="22"/>
  <c r="CA327" i="22"/>
  <c r="CB327" i="22"/>
  <c r="A328" i="22"/>
  <c r="E657" i="22" s="1"/>
  <c r="B328" i="22"/>
  <c r="C328" i="22"/>
  <c r="D328" i="22"/>
  <c r="E328" i="22"/>
  <c r="F328" i="22"/>
  <c r="G328" i="22"/>
  <c r="H328" i="22"/>
  <c r="I328" i="22"/>
  <c r="J328" i="22"/>
  <c r="K328" i="22"/>
  <c r="L328" i="22"/>
  <c r="M328" i="22"/>
  <c r="N328" i="22"/>
  <c r="O328" i="22"/>
  <c r="P328" i="22"/>
  <c r="Q328" i="22"/>
  <c r="R328" i="22"/>
  <c r="S328" i="22"/>
  <c r="T328" i="22"/>
  <c r="U328" i="22"/>
  <c r="V328" i="22"/>
  <c r="W328" i="22"/>
  <c r="X328" i="22"/>
  <c r="Y328" i="22"/>
  <c r="Z328" i="22"/>
  <c r="AA328" i="22"/>
  <c r="AB328" i="22"/>
  <c r="AC328" i="22"/>
  <c r="AD328" i="22"/>
  <c r="AE328" i="22"/>
  <c r="AF328" i="22"/>
  <c r="AG328" i="22"/>
  <c r="AH328" i="22"/>
  <c r="AI328" i="22"/>
  <c r="AJ328" i="22"/>
  <c r="AK328" i="22"/>
  <c r="AL328" i="22"/>
  <c r="AM328" i="22"/>
  <c r="AN328" i="22"/>
  <c r="AO328" i="22"/>
  <c r="AP328" i="22"/>
  <c r="AQ328" i="22"/>
  <c r="AR328" i="22"/>
  <c r="AS328" i="22"/>
  <c r="AT328" i="22"/>
  <c r="AU328" i="22"/>
  <c r="AV328" i="22"/>
  <c r="AW328" i="22"/>
  <c r="AX328" i="22"/>
  <c r="AY328" i="22"/>
  <c r="AZ328" i="22"/>
  <c r="BA328" i="22"/>
  <c r="BB328" i="22"/>
  <c r="BC328" i="22"/>
  <c r="BD328" i="22"/>
  <c r="BE328" i="22"/>
  <c r="BF328" i="22"/>
  <c r="BG328" i="22"/>
  <c r="BH328" i="22"/>
  <c r="BI328" i="22"/>
  <c r="BJ328" i="22"/>
  <c r="BK328" i="22"/>
  <c r="BL328" i="22"/>
  <c r="BM328" i="22"/>
  <c r="BN328" i="22"/>
  <c r="BO328" i="22"/>
  <c r="BP328" i="22"/>
  <c r="BQ328" i="22"/>
  <c r="BR328" i="22"/>
  <c r="BS328" i="22"/>
  <c r="BT328" i="22"/>
  <c r="BU328" i="22"/>
  <c r="BV328" i="22"/>
  <c r="BW328" i="22"/>
  <c r="BX328" i="22"/>
  <c r="BY328" i="22"/>
  <c r="BZ328" i="22"/>
  <c r="CA328" i="22"/>
  <c r="CB328" i="22"/>
  <c r="A329" i="22"/>
  <c r="E658" i="22" s="1"/>
  <c r="B329" i="22"/>
  <c r="C329" i="22"/>
  <c r="D329" i="22"/>
  <c r="E329" i="22"/>
  <c r="F329" i="22"/>
  <c r="G329" i="22"/>
  <c r="H329" i="22"/>
  <c r="I329" i="22"/>
  <c r="J329" i="22"/>
  <c r="K329" i="22"/>
  <c r="L329" i="22"/>
  <c r="M329" i="22"/>
  <c r="N329" i="22"/>
  <c r="O329" i="22"/>
  <c r="P329" i="22"/>
  <c r="Q329" i="22"/>
  <c r="R329" i="22"/>
  <c r="S329" i="22"/>
  <c r="T329" i="22"/>
  <c r="U329" i="22"/>
  <c r="V329" i="22"/>
  <c r="W329" i="22"/>
  <c r="X329" i="22"/>
  <c r="Y329" i="22"/>
  <c r="Z329" i="22"/>
  <c r="AA329" i="22"/>
  <c r="AB329" i="22"/>
  <c r="AC329" i="22"/>
  <c r="AD329" i="22"/>
  <c r="AE329" i="22"/>
  <c r="AF329" i="22"/>
  <c r="AG329" i="22"/>
  <c r="AH329" i="22"/>
  <c r="AI329" i="22"/>
  <c r="AJ329" i="22"/>
  <c r="AK329" i="22"/>
  <c r="AL329" i="22"/>
  <c r="AM329" i="22"/>
  <c r="AN329" i="22"/>
  <c r="AO329" i="22"/>
  <c r="AP329" i="22"/>
  <c r="AQ329" i="22"/>
  <c r="AR329" i="22"/>
  <c r="AS329" i="22"/>
  <c r="AT329" i="22"/>
  <c r="AU329" i="22"/>
  <c r="AV329" i="22"/>
  <c r="AW329" i="22"/>
  <c r="AX329" i="22"/>
  <c r="AY329" i="22"/>
  <c r="AZ329" i="22"/>
  <c r="BA329" i="22"/>
  <c r="BB329" i="22"/>
  <c r="BC329" i="22"/>
  <c r="BD329" i="22"/>
  <c r="BE329" i="22"/>
  <c r="BF329" i="22"/>
  <c r="BG329" i="22"/>
  <c r="BH329" i="22"/>
  <c r="BI329" i="22"/>
  <c r="BJ329" i="22"/>
  <c r="BK329" i="22"/>
  <c r="BL329" i="22"/>
  <c r="BM329" i="22"/>
  <c r="BN329" i="22"/>
  <c r="BO329" i="22"/>
  <c r="BP329" i="22"/>
  <c r="BQ329" i="22"/>
  <c r="BR329" i="22"/>
  <c r="BS329" i="22"/>
  <c r="BT329" i="22"/>
  <c r="BU329" i="22"/>
  <c r="BV329" i="22"/>
  <c r="BW329" i="22"/>
  <c r="BX329" i="22"/>
  <c r="BY329" i="22"/>
  <c r="BZ329" i="22"/>
  <c r="CA329" i="22"/>
  <c r="CB329" i="22"/>
  <c r="A330" i="22"/>
  <c r="E659" i="22" s="1"/>
  <c r="B330" i="22"/>
  <c r="C330" i="22"/>
  <c r="D330" i="22"/>
  <c r="E330" i="22"/>
  <c r="F330" i="22"/>
  <c r="G330" i="22"/>
  <c r="H330" i="22"/>
  <c r="I330" i="22"/>
  <c r="J330" i="22"/>
  <c r="K330" i="22"/>
  <c r="L330" i="22"/>
  <c r="M330" i="22"/>
  <c r="N330" i="22"/>
  <c r="O330" i="22"/>
  <c r="P330" i="22"/>
  <c r="Q330" i="22"/>
  <c r="R330" i="22"/>
  <c r="S330" i="22"/>
  <c r="T330" i="22"/>
  <c r="U330" i="22"/>
  <c r="V330" i="22"/>
  <c r="W330" i="22"/>
  <c r="X330" i="22"/>
  <c r="Y330" i="22"/>
  <c r="Z330" i="22"/>
  <c r="AA330" i="22"/>
  <c r="AB330" i="22"/>
  <c r="AC330" i="22"/>
  <c r="AD330" i="22"/>
  <c r="AE330" i="22"/>
  <c r="AF330" i="22"/>
  <c r="AG330" i="22"/>
  <c r="AH330" i="22"/>
  <c r="AI330" i="22"/>
  <c r="AJ330" i="22"/>
  <c r="AK330" i="22"/>
  <c r="AL330" i="22"/>
  <c r="AM330" i="22"/>
  <c r="AN330" i="22"/>
  <c r="AO330" i="22"/>
  <c r="AP330" i="22"/>
  <c r="AQ330" i="22"/>
  <c r="AR330" i="22"/>
  <c r="AS330" i="22"/>
  <c r="AT330" i="22"/>
  <c r="AU330" i="22"/>
  <c r="AV330" i="22"/>
  <c r="AW330" i="22"/>
  <c r="AX330" i="22"/>
  <c r="AY330" i="22"/>
  <c r="AZ330" i="22"/>
  <c r="BA330" i="22"/>
  <c r="BB330" i="22"/>
  <c r="BC330" i="22"/>
  <c r="BD330" i="22"/>
  <c r="BE330" i="22"/>
  <c r="BF330" i="22"/>
  <c r="BG330" i="22"/>
  <c r="BH330" i="22"/>
  <c r="BI330" i="22"/>
  <c r="BJ330" i="22"/>
  <c r="BK330" i="22"/>
  <c r="BL330" i="22"/>
  <c r="BM330" i="22"/>
  <c r="BN330" i="22"/>
  <c r="BO330" i="22"/>
  <c r="BP330" i="22"/>
  <c r="BQ330" i="22"/>
  <c r="BR330" i="22"/>
  <c r="BS330" i="22"/>
  <c r="BT330" i="22"/>
  <c r="BU330" i="22"/>
  <c r="BV330" i="22"/>
  <c r="BW330" i="22"/>
  <c r="BX330" i="22"/>
  <c r="BY330" i="22"/>
  <c r="BZ330" i="22"/>
  <c r="CA330" i="22"/>
  <c r="CB330" i="22"/>
  <c r="A331" i="22"/>
  <c r="E660" i="22" s="1"/>
  <c r="B331" i="22"/>
  <c r="C331" i="22"/>
  <c r="D331" i="22"/>
  <c r="E331" i="22"/>
  <c r="F331" i="22"/>
  <c r="G331" i="22"/>
  <c r="H331" i="22"/>
  <c r="I331" i="22"/>
  <c r="J331" i="22"/>
  <c r="K331" i="22"/>
  <c r="L331" i="22"/>
  <c r="M331" i="22"/>
  <c r="N331" i="22"/>
  <c r="O331" i="22"/>
  <c r="P331" i="22"/>
  <c r="Q331" i="22"/>
  <c r="R331" i="22"/>
  <c r="S331" i="22"/>
  <c r="T331" i="22"/>
  <c r="U331" i="22"/>
  <c r="V331" i="22"/>
  <c r="W331" i="22"/>
  <c r="X331" i="22"/>
  <c r="Y331" i="22"/>
  <c r="Z331" i="22"/>
  <c r="AA331" i="22"/>
  <c r="AB331" i="22"/>
  <c r="AC331" i="22"/>
  <c r="AD331" i="22"/>
  <c r="AE331" i="22"/>
  <c r="AF331" i="22"/>
  <c r="AG331" i="22"/>
  <c r="AH331" i="22"/>
  <c r="AI331" i="22"/>
  <c r="AJ331" i="22"/>
  <c r="AK331" i="22"/>
  <c r="AL331" i="22"/>
  <c r="AM331" i="22"/>
  <c r="AN331" i="22"/>
  <c r="AO331" i="22"/>
  <c r="AP331" i="22"/>
  <c r="AQ331" i="22"/>
  <c r="AR331" i="22"/>
  <c r="AS331" i="22"/>
  <c r="AT331" i="22"/>
  <c r="AU331" i="22"/>
  <c r="AV331" i="22"/>
  <c r="AW331" i="22"/>
  <c r="AX331" i="22"/>
  <c r="AY331" i="22"/>
  <c r="AZ331" i="22"/>
  <c r="BA331" i="22"/>
  <c r="BB331" i="22"/>
  <c r="BC331" i="22"/>
  <c r="BD331" i="22"/>
  <c r="BE331" i="22"/>
  <c r="BF331" i="22"/>
  <c r="BG331" i="22"/>
  <c r="BH331" i="22"/>
  <c r="BI331" i="22"/>
  <c r="BJ331" i="22"/>
  <c r="BK331" i="22"/>
  <c r="BL331" i="22"/>
  <c r="BM331" i="22"/>
  <c r="BN331" i="22"/>
  <c r="BO331" i="22"/>
  <c r="BP331" i="22"/>
  <c r="BQ331" i="22"/>
  <c r="BR331" i="22"/>
  <c r="BS331" i="22"/>
  <c r="BT331" i="22"/>
  <c r="BU331" i="22"/>
  <c r="BV331" i="22"/>
  <c r="BW331" i="22"/>
  <c r="BX331" i="22"/>
  <c r="BY331" i="22"/>
  <c r="BZ331" i="22"/>
  <c r="CA331" i="22"/>
  <c r="CB331" i="22"/>
  <c r="A332" i="22"/>
  <c r="E661" i="22" s="1"/>
  <c r="B332" i="22"/>
  <c r="C332" i="22"/>
  <c r="D332" i="22"/>
  <c r="E332" i="22"/>
  <c r="F332" i="22"/>
  <c r="G332" i="22"/>
  <c r="H332" i="22"/>
  <c r="I332" i="22"/>
  <c r="J332" i="22"/>
  <c r="K332" i="22"/>
  <c r="L332" i="22"/>
  <c r="M332" i="22"/>
  <c r="N332" i="22"/>
  <c r="O332" i="22"/>
  <c r="P332" i="22"/>
  <c r="Q332" i="22"/>
  <c r="R332" i="22"/>
  <c r="S332" i="22"/>
  <c r="T332" i="22"/>
  <c r="U332" i="22"/>
  <c r="V332" i="22"/>
  <c r="W332" i="22"/>
  <c r="X332" i="22"/>
  <c r="Y332" i="22"/>
  <c r="Z332" i="22"/>
  <c r="AA332" i="22"/>
  <c r="AB332" i="22"/>
  <c r="AC332" i="22"/>
  <c r="AD332" i="22"/>
  <c r="AE332" i="22"/>
  <c r="AF332" i="22"/>
  <c r="AG332" i="22"/>
  <c r="AH332" i="22"/>
  <c r="AI332" i="22"/>
  <c r="AJ332" i="22"/>
  <c r="AK332" i="22"/>
  <c r="AL332" i="22"/>
  <c r="AM332" i="22"/>
  <c r="AN332" i="22"/>
  <c r="AO332" i="22"/>
  <c r="AP332" i="22"/>
  <c r="AQ332" i="22"/>
  <c r="AR332" i="22"/>
  <c r="AS332" i="22"/>
  <c r="AT332" i="22"/>
  <c r="AU332" i="22"/>
  <c r="AV332" i="22"/>
  <c r="AW332" i="22"/>
  <c r="AX332" i="22"/>
  <c r="AY332" i="22"/>
  <c r="AZ332" i="22"/>
  <c r="BA332" i="22"/>
  <c r="BB332" i="22"/>
  <c r="BC332" i="22"/>
  <c r="BD332" i="22"/>
  <c r="BE332" i="22"/>
  <c r="BF332" i="22"/>
  <c r="BG332" i="22"/>
  <c r="BH332" i="22"/>
  <c r="BI332" i="22"/>
  <c r="BJ332" i="22"/>
  <c r="BK332" i="22"/>
  <c r="BL332" i="22"/>
  <c r="BM332" i="22"/>
  <c r="BN332" i="22"/>
  <c r="BO332" i="22"/>
  <c r="BP332" i="22"/>
  <c r="BQ332" i="22"/>
  <c r="BR332" i="22"/>
  <c r="BS332" i="22"/>
  <c r="BT332" i="22"/>
  <c r="BU332" i="22"/>
  <c r="BV332" i="22"/>
  <c r="BW332" i="22"/>
  <c r="BX332" i="22"/>
  <c r="BY332" i="22"/>
  <c r="BZ332" i="22"/>
  <c r="CA332" i="22"/>
  <c r="CB332" i="22"/>
  <c r="A333" i="22"/>
  <c r="E662" i="22" s="1"/>
  <c r="B333" i="22"/>
  <c r="C333" i="22"/>
  <c r="D333" i="22"/>
  <c r="E333" i="22"/>
  <c r="F333" i="22"/>
  <c r="G333" i="22"/>
  <c r="H333" i="22"/>
  <c r="I333" i="22"/>
  <c r="J333" i="22"/>
  <c r="K333" i="22"/>
  <c r="L333" i="22"/>
  <c r="M333" i="22"/>
  <c r="N333" i="22"/>
  <c r="O333" i="22"/>
  <c r="P333" i="22"/>
  <c r="Q333" i="22"/>
  <c r="R333" i="22"/>
  <c r="S333" i="22"/>
  <c r="T333" i="22"/>
  <c r="U333" i="22"/>
  <c r="V333" i="22"/>
  <c r="W333" i="22"/>
  <c r="X333" i="22"/>
  <c r="Y333" i="22"/>
  <c r="Z333" i="22"/>
  <c r="AA333" i="22"/>
  <c r="AB333" i="22"/>
  <c r="AC333" i="22"/>
  <c r="AD333" i="22"/>
  <c r="AE333" i="22"/>
  <c r="AF333" i="22"/>
  <c r="AG333" i="22"/>
  <c r="AH333" i="22"/>
  <c r="AI333" i="22"/>
  <c r="AJ333" i="22"/>
  <c r="AK333" i="22"/>
  <c r="AL333" i="22"/>
  <c r="AM333" i="22"/>
  <c r="AN333" i="22"/>
  <c r="AO333" i="22"/>
  <c r="AP333" i="22"/>
  <c r="AQ333" i="22"/>
  <c r="AR333" i="22"/>
  <c r="AS333" i="22"/>
  <c r="AT333" i="22"/>
  <c r="AU333" i="22"/>
  <c r="AV333" i="22"/>
  <c r="AW333" i="22"/>
  <c r="AX333" i="22"/>
  <c r="AY333" i="22"/>
  <c r="AZ333" i="22"/>
  <c r="BA333" i="22"/>
  <c r="BB333" i="22"/>
  <c r="BC333" i="22"/>
  <c r="BD333" i="22"/>
  <c r="BE333" i="22"/>
  <c r="BF333" i="22"/>
  <c r="BG333" i="22"/>
  <c r="BH333" i="22"/>
  <c r="BI333" i="22"/>
  <c r="BJ333" i="22"/>
  <c r="BK333" i="22"/>
  <c r="BL333" i="22"/>
  <c r="BM333" i="22"/>
  <c r="BN333" i="22"/>
  <c r="BO333" i="22"/>
  <c r="BP333" i="22"/>
  <c r="BQ333" i="22"/>
  <c r="BR333" i="22"/>
  <c r="BS333" i="22"/>
  <c r="BT333" i="22"/>
  <c r="BU333" i="22"/>
  <c r="BV333" i="22"/>
  <c r="BW333" i="22"/>
  <c r="BX333" i="22"/>
  <c r="BY333" i="22"/>
  <c r="BZ333" i="22"/>
  <c r="CA333" i="22"/>
  <c r="CB333" i="22"/>
  <c r="A334" i="22"/>
  <c r="E663" i="22" s="1"/>
  <c r="B334" i="22"/>
  <c r="C334" i="22"/>
  <c r="D334" i="22"/>
  <c r="E334" i="22"/>
  <c r="F334" i="22"/>
  <c r="G334" i="22"/>
  <c r="H334" i="22"/>
  <c r="I334" i="22"/>
  <c r="J334" i="22"/>
  <c r="K334" i="22"/>
  <c r="L334" i="22"/>
  <c r="M334" i="22"/>
  <c r="N334" i="22"/>
  <c r="O334" i="22"/>
  <c r="P334" i="22"/>
  <c r="Q334" i="22"/>
  <c r="R334" i="22"/>
  <c r="S334" i="22"/>
  <c r="T334" i="22"/>
  <c r="U334" i="22"/>
  <c r="V334" i="22"/>
  <c r="W334" i="22"/>
  <c r="X334" i="22"/>
  <c r="Y334" i="22"/>
  <c r="Z334" i="22"/>
  <c r="AA334" i="22"/>
  <c r="AB334" i="22"/>
  <c r="AC334" i="22"/>
  <c r="AD334" i="22"/>
  <c r="AE334" i="22"/>
  <c r="AF334" i="22"/>
  <c r="AG334" i="22"/>
  <c r="AH334" i="22"/>
  <c r="AI334" i="22"/>
  <c r="AJ334" i="22"/>
  <c r="AK334" i="22"/>
  <c r="AL334" i="22"/>
  <c r="AM334" i="22"/>
  <c r="AN334" i="22"/>
  <c r="AO334" i="22"/>
  <c r="AP334" i="22"/>
  <c r="AQ334" i="22"/>
  <c r="AR334" i="22"/>
  <c r="AS334" i="22"/>
  <c r="AT334" i="22"/>
  <c r="AU334" i="22"/>
  <c r="AV334" i="22"/>
  <c r="AW334" i="22"/>
  <c r="AX334" i="22"/>
  <c r="AY334" i="22"/>
  <c r="AZ334" i="22"/>
  <c r="BA334" i="22"/>
  <c r="BB334" i="22"/>
  <c r="BC334" i="22"/>
  <c r="BD334" i="22"/>
  <c r="BE334" i="22"/>
  <c r="BF334" i="22"/>
  <c r="BG334" i="22"/>
  <c r="BH334" i="22"/>
  <c r="BI334" i="22"/>
  <c r="BJ334" i="22"/>
  <c r="BK334" i="22"/>
  <c r="BL334" i="22"/>
  <c r="B257" i="22"/>
  <c r="F587" i="22" s="1"/>
  <c r="C257" i="22"/>
  <c r="F588" i="22" s="1"/>
  <c r="D257" i="22"/>
  <c r="F589" i="22" s="1"/>
  <c r="E257" i="22"/>
  <c r="F590" i="22" s="1"/>
  <c r="F257" i="22"/>
  <c r="F591" i="22" s="1"/>
  <c r="G257" i="22"/>
  <c r="F592" i="22" s="1"/>
  <c r="H257" i="22"/>
  <c r="F593" i="22" s="1"/>
  <c r="I257" i="22"/>
  <c r="F594" i="22" s="1"/>
  <c r="J257" i="22"/>
  <c r="F595" i="22" s="1"/>
  <c r="K257" i="22"/>
  <c r="F596" i="22" s="1"/>
  <c r="L257" i="22"/>
  <c r="F597" i="22" s="1"/>
  <c r="A257" i="22"/>
  <c r="M257" i="22"/>
  <c r="F598" i="22" s="1"/>
  <c r="N257" i="22"/>
  <c r="F599" i="22" s="1"/>
  <c r="O257" i="22"/>
  <c r="F600" i="22" s="1"/>
  <c r="P257" i="22"/>
  <c r="F601" i="22" s="1"/>
  <c r="Q257" i="22"/>
  <c r="F602" i="22" s="1"/>
  <c r="R257" i="22"/>
  <c r="F603" i="22" s="1"/>
  <c r="S257" i="22"/>
  <c r="F604" i="22" s="1"/>
  <c r="T257" i="22"/>
  <c r="F605" i="22" s="1"/>
  <c r="U257" i="22"/>
  <c r="F606" i="22" s="1"/>
  <c r="V257" i="22"/>
  <c r="F607" i="22" s="1"/>
  <c r="W257" i="22"/>
  <c r="F608" i="22" s="1"/>
  <c r="X257" i="22"/>
  <c r="F609" i="22" s="1"/>
  <c r="Y257" i="22"/>
  <c r="F610" i="22" s="1"/>
  <c r="Z257" i="22"/>
  <c r="F611" i="22" s="1"/>
  <c r="AA257" i="22"/>
  <c r="F612" i="22" s="1"/>
  <c r="AB257" i="22"/>
  <c r="F613" i="22" s="1"/>
  <c r="AC257" i="22"/>
  <c r="F614" i="22" s="1"/>
  <c r="AD257" i="22"/>
  <c r="F615" i="22" s="1"/>
  <c r="AE257" i="22"/>
  <c r="F616" i="22" s="1"/>
  <c r="AF257" i="22"/>
  <c r="F617" i="22" s="1"/>
  <c r="AG257" i="22"/>
  <c r="F618" i="22" s="1"/>
  <c r="AH257" i="22"/>
  <c r="F619" i="22" s="1"/>
  <c r="AI257" i="22"/>
  <c r="F620" i="22" s="1"/>
  <c r="AJ257" i="22"/>
  <c r="F621" i="22" s="1"/>
  <c r="AK257" i="22"/>
  <c r="F622" i="22" s="1"/>
  <c r="AL257" i="22"/>
  <c r="F623" i="22" s="1"/>
  <c r="AM257" i="22"/>
  <c r="F624" i="22" s="1"/>
  <c r="AN257" i="22"/>
  <c r="F625" i="22" s="1"/>
  <c r="AO257" i="22"/>
  <c r="F626" i="22" s="1"/>
  <c r="AP257" i="22"/>
  <c r="F627" i="22" s="1"/>
  <c r="AQ257" i="22"/>
  <c r="F628" i="22" s="1"/>
  <c r="AR257" i="22"/>
  <c r="F629" i="22" s="1"/>
  <c r="AS257" i="22"/>
  <c r="F630" i="22" s="1"/>
  <c r="AT257" i="22"/>
  <c r="F631" i="22" s="1"/>
  <c r="AU257" i="22"/>
  <c r="F632" i="22" s="1"/>
  <c r="AV257" i="22"/>
  <c r="F633" i="22" s="1"/>
  <c r="AW257" i="22"/>
  <c r="F634" i="22" s="1"/>
  <c r="AX257" i="22"/>
  <c r="F635" i="22" s="1"/>
  <c r="AY257" i="22"/>
  <c r="F636" i="22" s="1"/>
  <c r="AZ257" i="22"/>
  <c r="F637" i="22" s="1"/>
  <c r="BA257" i="22"/>
  <c r="F638" i="22" s="1"/>
  <c r="BB257" i="22"/>
  <c r="F639" i="22" s="1"/>
  <c r="BC257" i="22"/>
  <c r="F640" i="22" s="1"/>
  <c r="BG257" i="22"/>
  <c r="F644" i="22" s="1"/>
  <c r="BH257" i="22"/>
  <c r="F645" i="22" s="1"/>
  <c r="BJ257" i="22"/>
  <c r="F647" i="22" s="1"/>
  <c r="BK257" i="22"/>
  <c r="F648" i="22" s="1"/>
  <c r="BL257" i="22"/>
  <c r="F649" i="22" s="1"/>
  <c r="BM257" i="22"/>
  <c r="F650" i="22" s="1"/>
  <c r="BN257" i="22"/>
  <c r="F651" i="22" s="1"/>
  <c r="BQ257" i="22"/>
  <c r="F654" i="22" s="1"/>
  <c r="BR257" i="22"/>
  <c r="F655" i="22" s="1"/>
  <c r="BU257" i="22"/>
  <c r="F658" i="22" s="1"/>
  <c r="BV257" i="22"/>
  <c r="F659" i="22" s="1"/>
  <c r="BX257" i="22"/>
  <c r="F661" i="22" s="1"/>
  <c r="BY257" i="22"/>
  <c r="F662" i="22" s="1"/>
  <c r="BZ257" i="22"/>
  <c r="F663" i="22" s="1"/>
  <c r="CA257" i="22"/>
  <c r="F664" i="22" s="1"/>
  <c r="A258" i="22"/>
  <c r="E587" i="22" s="1"/>
  <c r="B258" i="22"/>
  <c r="D258" i="22"/>
  <c r="E258" i="22"/>
  <c r="F258" i="22"/>
  <c r="I258" i="22"/>
  <c r="M258" i="22"/>
  <c r="P258" i="22"/>
  <c r="R258" i="22"/>
  <c r="S258" i="22"/>
  <c r="U258" i="22"/>
  <c r="Z258" i="22"/>
  <c r="AA258" i="22"/>
  <c r="AH258" i="22"/>
  <c r="AM258" i="22"/>
  <c r="AR258" i="22"/>
  <c r="AT258" i="22"/>
  <c r="AU258" i="22"/>
  <c r="AZ258" i="22"/>
  <c r="BF258" i="22"/>
  <c r="BG258" i="22"/>
  <c r="BH258" i="22"/>
  <c r="BI258" i="22"/>
  <c r="BL258" i="22"/>
  <c r="BO258" i="22"/>
  <c r="BP258" i="22"/>
  <c r="BQ258" i="22"/>
  <c r="BR258" i="22"/>
  <c r="BS258" i="22"/>
  <c r="BV258" i="22"/>
  <c r="BY258" i="22"/>
  <c r="BZ258" i="22"/>
  <c r="CB258" i="22"/>
  <c r="C259" i="22"/>
  <c r="D259" i="22"/>
  <c r="E259" i="22"/>
  <c r="G259" i="22"/>
  <c r="I259" i="22"/>
  <c r="K259" i="22"/>
  <c r="P259" i="22"/>
  <c r="Q259" i="22"/>
  <c r="T259" i="22"/>
  <c r="U259" i="22"/>
  <c r="V259" i="22"/>
  <c r="W259" i="22"/>
  <c r="AC259" i="22"/>
  <c r="AD259" i="22"/>
  <c r="AF259" i="22"/>
  <c r="AI259" i="22"/>
  <c r="AJ259" i="22"/>
  <c r="AK259" i="22"/>
  <c r="AL259" i="22"/>
  <c r="AM259" i="22"/>
  <c r="AN259" i="22"/>
  <c r="AO259" i="22"/>
  <c r="AP259" i="22"/>
  <c r="AR259" i="22"/>
  <c r="AS259" i="22"/>
  <c r="AU259" i="22"/>
  <c r="BA259" i="22"/>
  <c r="BC259" i="22"/>
  <c r="BG259" i="22"/>
  <c r="BH259" i="22"/>
  <c r="BK259" i="22"/>
  <c r="BP259" i="22"/>
  <c r="BR259" i="22"/>
  <c r="BS259" i="22"/>
  <c r="BU259" i="22"/>
  <c r="CA259" i="22"/>
  <c r="CB259" i="22"/>
  <c r="C260" i="22"/>
  <c r="D260" i="22"/>
  <c r="E260" i="22"/>
  <c r="F260" i="22"/>
  <c r="G260" i="22"/>
  <c r="H260" i="22"/>
  <c r="K260" i="22"/>
  <c r="L260" i="22"/>
  <c r="N260" i="22"/>
  <c r="AA260" i="22"/>
  <c r="AB260" i="22"/>
  <c r="AC260" i="22"/>
  <c r="AD260" i="22"/>
  <c r="AG260" i="22"/>
  <c r="AL260" i="22"/>
  <c r="AM260" i="22"/>
  <c r="AN260" i="22"/>
  <c r="AO260" i="22"/>
  <c r="AP260" i="22"/>
  <c r="AR260" i="22"/>
  <c r="AS260" i="22"/>
  <c r="AU260" i="22"/>
  <c r="AV260" i="22"/>
  <c r="BB260" i="22"/>
  <c r="BC260" i="22"/>
  <c r="BD260" i="22"/>
  <c r="BE260" i="22"/>
  <c r="BG260" i="22"/>
  <c r="BJ260" i="22"/>
  <c r="BK260" i="22"/>
  <c r="BN260" i="22"/>
  <c r="BU260" i="22"/>
  <c r="BV260" i="22"/>
  <c r="BX260" i="22"/>
  <c r="CA260" i="22"/>
  <c r="A261" i="22"/>
  <c r="E590" i="22" s="1"/>
  <c r="G261" i="22"/>
  <c r="I261" i="22"/>
  <c r="J261" i="22"/>
  <c r="L261" i="22"/>
  <c r="M261" i="22"/>
  <c r="Q261" i="22"/>
  <c r="U261" i="22"/>
  <c r="V261" i="22"/>
  <c r="X261" i="22"/>
  <c r="Z261" i="22"/>
  <c r="AA261" i="22"/>
  <c r="AC261" i="22"/>
  <c r="AE261" i="22"/>
  <c r="AG261" i="22"/>
  <c r="AI261" i="22"/>
  <c r="AK261" i="22"/>
  <c r="AP261" i="22"/>
  <c r="AR261" i="22"/>
  <c r="AS261" i="22"/>
  <c r="BE261" i="22"/>
  <c r="BM261" i="22"/>
  <c r="BQ261" i="22"/>
  <c r="BS261" i="22"/>
  <c r="BT261" i="22"/>
  <c r="BU261" i="22"/>
  <c r="BW261" i="22"/>
  <c r="CB261" i="22"/>
  <c r="A262" i="22"/>
  <c r="E591" i="22" s="1"/>
  <c r="C262" i="22"/>
  <c r="D262" i="22"/>
  <c r="F262" i="22"/>
  <c r="J262" i="22"/>
  <c r="M262" i="22"/>
  <c r="O262" i="22"/>
  <c r="Q262" i="22"/>
  <c r="R262" i="22"/>
  <c r="S262" i="22"/>
  <c r="T262" i="22"/>
  <c r="W262" i="22"/>
  <c r="X262" i="22"/>
  <c r="Z262" i="22"/>
  <c r="AA262" i="22"/>
  <c r="AB262" i="22"/>
  <c r="AC262" i="22"/>
  <c r="AI262" i="22"/>
  <c r="AJ262" i="22"/>
  <c r="AK262" i="22"/>
  <c r="AL262" i="22"/>
  <c r="AM262" i="22"/>
  <c r="AN262" i="22"/>
  <c r="AO262" i="22"/>
  <c r="AP262" i="22"/>
  <c r="AT262" i="22"/>
  <c r="AU262" i="22"/>
  <c r="AV262" i="22"/>
  <c r="AW262" i="22"/>
  <c r="BD262" i="22"/>
  <c r="BG262" i="22"/>
  <c r="BI262" i="22"/>
  <c r="BJ262" i="22"/>
  <c r="BO262" i="22"/>
  <c r="BP262" i="22"/>
  <c r="BQ262" i="22"/>
  <c r="BR262" i="22"/>
  <c r="BS262" i="22"/>
  <c r="BT262" i="22"/>
  <c r="BU262" i="22"/>
  <c r="BY262" i="22"/>
  <c r="CA262" i="22"/>
  <c r="CB262" i="22"/>
  <c r="C263" i="22"/>
  <c r="E263" i="22"/>
  <c r="M263" i="22"/>
  <c r="O263" i="22"/>
  <c r="R263" i="22"/>
  <c r="T263" i="22"/>
  <c r="U263" i="22"/>
  <c r="V263" i="22"/>
  <c r="W263" i="22"/>
  <c r="X263" i="22"/>
  <c r="Y263" i="22"/>
  <c r="Z263" i="22"/>
  <c r="AB263" i="22"/>
  <c r="AC263" i="22"/>
  <c r="AD263" i="22"/>
  <c r="AE263" i="22"/>
  <c r="AF263" i="22"/>
  <c r="AH263" i="22"/>
  <c r="AJ263" i="22"/>
  <c r="AK263" i="22"/>
  <c r="AL263" i="22"/>
  <c r="AM263" i="22"/>
  <c r="AN263" i="22"/>
  <c r="AO263" i="22"/>
  <c r="AW263" i="22"/>
  <c r="AX263" i="22"/>
  <c r="AZ263" i="22"/>
  <c r="BB263" i="22"/>
  <c r="BD263" i="22"/>
  <c r="BG263" i="22"/>
  <c r="BH263" i="22"/>
  <c r="BI263" i="22"/>
  <c r="BJ263" i="22"/>
  <c r="BK263" i="22"/>
  <c r="BL263" i="22"/>
  <c r="BM263" i="22"/>
  <c r="BN263" i="22"/>
  <c r="BO263" i="22"/>
  <c r="BP263" i="22"/>
  <c r="BQ263" i="22"/>
  <c r="BR263" i="22"/>
  <c r="BS263" i="22"/>
  <c r="BT263" i="22"/>
  <c r="BU263" i="22"/>
  <c r="BV263" i="22"/>
  <c r="BW263" i="22"/>
  <c r="BX263" i="22"/>
  <c r="BY263" i="22"/>
  <c r="BZ263" i="22"/>
  <c r="CA263" i="22"/>
  <c r="CB263" i="22"/>
  <c r="A264" i="22"/>
  <c r="E593" i="22" s="1"/>
  <c r="B264" i="22"/>
  <c r="C264" i="22"/>
  <c r="D264" i="22"/>
  <c r="E264" i="22"/>
  <c r="F264" i="22"/>
  <c r="G264" i="22"/>
  <c r="H264" i="22"/>
  <c r="I264" i="22"/>
  <c r="J264" i="22"/>
  <c r="K264" i="22"/>
  <c r="L264" i="22"/>
  <c r="M264" i="22"/>
  <c r="N264" i="22"/>
  <c r="O264" i="22"/>
  <c r="P264" i="22"/>
  <c r="Q264" i="22"/>
  <c r="R264" i="22"/>
  <c r="S264" i="22"/>
  <c r="T264" i="22"/>
  <c r="U264" i="22"/>
  <c r="V264" i="22"/>
  <c r="W264" i="22"/>
  <c r="X264" i="22"/>
  <c r="Y264" i="22"/>
  <c r="Z264" i="22"/>
  <c r="AA264" i="22"/>
  <c r="AB264" i="22"/>
  <c r="AC264" i="22"/>
  <c r="AD264" i="22"/>
  <c r="AE264" i="22"/>
  <c r="AF264" i="22"/>
  <c r="AG264" i="22"/>
  <c r="AH264" i="22"/>
  <c r="AI264" i="22"/>
  <c r="AJ264" i="22"/>
  <c r="AK264" i="22"/>
  <c r="AL264" i="22"/>
  <c r="AM264" i="22"/>
  <c r="AN264" i="22"/>
  <c r="AO264" i="22"/>
  <c r="AP264" i="22"/>
  <c r="AQ264" i="22"/>
  <c r="AR264" i="22"/>
  <c r="AS264" i="22"/>
  <c r="AT264" i="22"/>
  <c r="AU264" i="22"/>
  <c r="AV264" i="22"/>
  <c r="AW264" i="22"/>
  <c r="AX264" i="22"/>
  <c r="AY264" i="22"/>
  <c r="AZ264" i="22"/>
  <c r="BA264" i="22"/>
  <c r="BB264" i="22"/>
  <c r="BC264" i="22"/>
  <c r="BD264" i="22"/>
  <c r="BE264" i="22"/>
  <c r="BF264" i="22"/>
  <c r="BG264" i="22"/>
  <c r="BH264" i="22"/>
  <c r="BI264" i="22"/>
  <c r="BJ264" i="22"/>
  <c r="BK264" i="22"/>
  <c r="BL264" i="22"/>
  <c r="BM264" i="22"/>
  <c r="BN264" i="22"/>
  <c r="BO264" i="22"/>
  <c r="BP264" i="22"/>
  <c r="BQ264" i="22"/>
  <c r="BR264" i="22"/>
  <c r="BS264" i="22"/>
  <c r="BT264" i="22"/>
  <c r="BU264" i="22"/>
  <c r="BV264" i="22"/>
  <c r="BW264" i="22"/>
  <c r="BX264" i="22"/>
  <c r="BY264" i="22"/>
  <c r="BZ264" i="22"/>
  <c r="CA264" i="22"/>
  <c r="CB264" i="22"/>
  <c r="A265" i="22"/>
  <c r="E594" i="22" s="1"/>
  <c r="B265" i="22"/>
  <c r="C265" i="22"/>
  <c r="D265" i="22"/>
  <c r="E265" i="22"/>
  <c r="F265" i="22"/>
  <c r="G265" i="22"/>
  <c r="H265" i="22"/>
  <c r="I265" i="22"/>
  <c r="J265" i="22"/>
  <c r="K265" i="22"/>
  <c r="L265" i="22"/>
  <c r="M265" i="22"/>
  <c r="N265" i="22"/>
  <c r="O265" i="22"/>
  <c r="P265" i="22"/>
  <c r="Q265" i="22"/>
  <c r="R265" i="22"/>
  <c r="S265" i="22"/>
  <c r="T265" i="22"/>
  <c r="U265" i="22"/>
  <c r="V265" i="22"/>
  <c r="W265" i="22"/>
  <c r="X265" i="22"/>
  <c r="Y265" i="22"/>
  <c r="Z265" i="22"/>
  <c r="AA265" i="22"/>
  <c r="AB265" i="22"/>
  <c r="AC265" i="22"/>
  <c r="AD265" i="22"/>
  <c r="AE265" i="22"/>
  <c r="AF265" i="22"/>
  <c r="AG265" i="22"/>
  <c r="AH265" i="22"/>
  <c r="AI265" i="22"/>
  <c r="AJ265" i="22"/>
  <c r="AK265" i="22"/>
  <c r="AL265" i="22"/>
  <c r="AM265" i="22"/>
  <c r="AN265" i="22"/>
  <c r="AO265" i="22"/>
  <c r="AP265" i="22"/>
  <c r="AQ265" i="22"/>
  <c r="AR265" i="22"/>
  <c r="AS265" i="22"/>
  <c r="AT265" i="22"/>
  <c r="AU265" i="22"/>
  <c r="AV265" i="22"/>
  <c r="AW265" i="22"/>
  <c r="AX265" i="22"/>
  <c r="AY265" i="22"/>
  <c r="AZ265" i="22"/>
  <c r="BA265" i="22"/>
  <c r="BB265" i="22"/>
  <c r="BC265" i="22"/>
  <c r="BD265" i="22"/>
  <c r="BE265" i="22"/>
  <c r="BF265" i="22"/>
  <c r="BG265" i="22"/>
  <c r="BH265" i="22"/>
  <c r="BI265" i="22"/>
  <c r="BJ265" i="22"/>
  <c r="BK265" i="22"/>
  <c r="BL265" i="22"/>
  <c r="BM265" i="22"/>
  <c r="BN265" i="22"/>
  <c r="BO265" i="22"/>
  <c r="BP265" i="22"/>
  <c r="BQ265" i="22"/>
  <c r="BR265" i="22"/>
  <c r="BS265" i="22"/>
  <c r="BT265" i="22"/>
  <c r="BU265" i="22"/>
  <c r="BV265" i="22"/>
  <c r="BW265" i="22"/>
  <c r="BX265" i="22"/>
  <c r="BY265" i="22"/>
  <c r="BZ265" i="22"/>
  <c r="CA265" i="22"/>
  <c r="CB265" i="22"/>
  <c r="A266" i="22"/>
  <c r="E595" i="22" s="1"/>
  <c r="B266" i="22"/>
  <c r="C266" i="22"/>
  <c r="D266" i="22"/>
  <c r="E266" i="22"/>
  <c r="F266" i="22"/>
  <c r="G266" i="22"/>
  <c r="H266" i="22"/>
  <c r="I266" i="22"/>
  <c r="J266" i="22"/>
  <c r="K266" i="22"/>
  <c r="L266" i="22"/>
  <c r="M266" i="22"/>
  <c r="N266" i="22"/>
  <c r="O266" i="22"/>
  <c r="P266" i="22"/>
  <c r="Q266" i="22"/>
  <c r="R266" i="22"/>
  <c r="S266" i="22"/>
  <c r="T266" i="22"/>
  <c r="U266" i="22"/>
  <c r="V266" i="22"/>
  <c r="W266" i="22"/>
  <c r="X266" i="22"/>
  <c r="Y266" i="22"/>
  <c r="Z266" i="22"/>
  <c r="AA266" i="22"/>
  <c r="AB266" i="22"/>
  <c r="AC266" i="22"/>
  <c r="AD266" i="22"/>
  <c r="AE266" i="22"/>
  <c r="AF266" i="22"/>
  <c r="AG266" i="22"/>
  <c r="AH266" i="22"/>
  <c r="AI266" i="22"/>
  <c r="AJ266" i="22"/>
  <c r="AK266" i="22"/>
  <c r="AL266" i="22"/>
  <c r="AM266" i="22"/>
  <c r="AN266" i="22"/>
  <c r="AO266" i="22"/>
  <c r="AP266" i="22"/>
  <c r="AQ266" i="22"/>
  <c r="AR266" i="22"/>
  <c r="AS266" i="22"/>
  <c r="AT266" i="22"/>
  <c r="AU266" i="22"/>
  <c r="AV266" i="22"/>
  <c r="AW266" i="22"/>
  <c r="AX266" i="22"/>
  <c r="AY266" i="22"/>
  <c r="AZ266" i="22"/>
  <c r="BA266" i="22"/>
  <c r="BB266" i="22"/>
  <c r="BC266" i="22"/>
  <c r="BD266" i="22"/>
  <c r="BE266" i="22"/>
  <c r="BF266" i="22"/>
  <c r="BG266" i="22"/>
  <c r="BH266" i="22"/>
  <c r="BI266" i="22"/>
  <c r="BJ266" i="22"/>
  <c r="BK266" i="22"/>
  <c r="BL266" i="22"/>
  <c r="BM266" i="22"/>
  <c r="BN266" i="22"/>
  <c r="BO266" i="22"/>
  <c r="BP266" i="22"/>
  <c r="BQ266" i="22"/>
  <c r="BR266" i="22"/>
  <c r="BS266" i="22"/>
  <c r="BT266" i="22"/>
  <c r="BU266" i="22"/>
  <c r="BV266" i="22"/>
  <c r="BW266" i="22"/>
  <c r="BX266" i="22"/>
  <c r="BY266" i="22"/>
  <c r="BZ266" i="22"/>
  <c r="CA266" i="22"/>
  <c r="CB266" i="22"/>
  <c r="A267" i="22"/>
  <c r="E596" i="22" s="1"/>
  <c r="B267" i="22"/>
  <c r="C267" i="22"/>
  <c r="D267" i="22"/>
  <c r="E267" i="22"/>
  <c r="F267" i="22"/>
  <c r="G267" i="22"/>
  <c r="H267" i="22"/>
  <c r="I267" i="22"/>
  <c r="J267" i="22"/>
  <c r="K267" i="22"/>
  <c r="L267" i="22"/>
  <c r="M267" i="22"/>
  <c r="N267" i="22"/>
  <c r="O267" i="22"/>
  <c r="P267" i="22"/>
  <c r="Q267" i="22"/>
  <c r="R267" i="22"/>
  <c r="S267" i="22"/>
  <c r="T267" i="22"/>
  <c r="U267" i="22"/>
  <c r="V267" i="22"/>
  <c r="W267" i="22"/>
  <c r="X267" i="22"/>
  <c r="Y267" i="22"/>
  <c r="Z267" i="22"/>
  <c r="AA267" i="22"/>
  <c r="AB267" i="22"/>
  <c r="AC267" i="22"/>
  <c r="AD267" i="22"/>
  <c r="AE267" i="22"/>
  <c r="AF267" i="22"/>
  <c r="AG267" i="22"/>
  <c r="AH267" i="22"/>
  <c r="AI267" i="22"/>
  <c r="AJ267" i="22"/>
  <c r="AK267" i="22"/>
  <c r="AL267" i="22"/>
  <c r="AM267" i="22"/>
  <c r="AN267" i="22"/>
  <c r="AO267" i="22"/>
  <c r="AP267" i="22"/>
  <c r="AQ267" i="22"/>
  <c r="AR267" i="22"/>
  <c r="AS267" i="22"/>
  <c r="AT267" i="22"/>
  <c r="AU267" i="22"/>
  <c r="AV267" i="22"/>
  <c r="AW267" i="22"/>
  <c r="AX267" i="22"/>
  <c r="AY267" i="22"/>
  <c r="AZ267" i="22"/>
  <c r="BA267" i="22"/>
  <c r="BB267" i="22"/>
  <c r="BC267" i="22"/>
  <c r="BD267" i="22"/>
  <c r="BE267" i="22"/>
  <c r="BF267" i="22"/>
  <c r="BG267" i="22"/>
  <c r="BH267" i="22"/>
  <c r="BI267" i="22"/>
  <c r="BJ267" i="22"/>
  <c r="BK267" i="22"/>
  <c r="BL267" i="22"/>
  <c r="BM267" i="22"/>
  <c r="BN267" i="22"/>
  <c r="BO267" i="22"/>
  <c r="BP267" i="22"/>
  <c r="BQ267" i="22"/>
  <c r="BR267" i="22"/>
  <c r="BS267" i="22"/>
  <c r="BT267" i="22"/>
  <c r="BU267" i="22"/>
  <c r="BV267" i="22"/>
  <c r="BW267" i="22"/>
  <c r="BX267" i="22"/>
  <c r="BY267" i="22"/>
  <c r="BZ267" i="22"/>
  <c r="CA267" i="22"/>
  <c r="CB267" i="22"/>
  <c r="A268" i="22"/>
  <c r="B268" i="22"/>
  <c r="C268" i="22"/>
  <c r="D268" i="22"/>
  <c r="E268" i="22"/>
  <c r="F268" i="22"/>
  <c r="G268" i="22"/>
  <c r="H268" i="22"/>
  <c r="I268" i="22"/>
  <c r="J268" i="22"/>
  <c r="K268" i="22"/>
  <c r="L268" i="22"/>
  <c r="M268" i="22"/>
  <c r="N268" i="22"/>
  <c r="O268" i="22"/>
  <c r="P268" i="22"/>
  <c r="Q268" i="22"/>
  <c r="R268" i="22"/>
  <c r="S268" i="22"/>
  <c r="T268" i="22"/>
  <c r="U268" i="22"/>
  <c r="V268" i="22"/>
  <c r="W268" i="22"/>
  <c r="X268" i="22"/>
  <c r="Y268" i="22"/>
  <c r="Z268" i="22"/>
  <c r="AA268" i="22"/>
  <c r="AB268" i="22"/>
  <c r="AC268" i="22"/>
  <c r="AD268" i="22"/>
  <c r="AE268" i="22"/>
  <c r="AF268" i="22"/>
  <c r="AG268" i="22"/>
  <c r="AH268" i="22"/>
  <c r="AI268" i="22"/>
  <c r="AJ268" i="22"/>
  <c r="AK268" i="22"/>
  <c r="AL268" i="22"/>
  <c r="AM268" i="22"/>
  <c r="AN268" i="22"/>
  <c r="AO268" i="22"/>
  <c r="AP268" i="22"/>
  <c r="AQ268" i="22"/>
  <c r="AR268" i="22"/>
  <c r="AS268" i="22"/>
  <c r="AT268" i="22"/>
  <c r="AU268" i="22"/>
  <c r="AV268" i="22"/>
  <c r="AW268" i="22"/>
  <c r="AX268" i="22"/>
  <c r="AY268" i="22"/>
  <c r="AZ268" i="22"/>
  <c r="BB268" i="22"/>
  <c r="BF268" i="22"/>
  <c r="BG268" i="22"/>
  <c r="BI268" i="22"/>
  <c r="BN268" i="22"/>
  <c r="BO268" i="22"/>
  <c r="BP268" i="22"/>
  <c r="BQ268" i="22"/>
  <c r="BR268" i="22"/>
  <c r="BS268" i="22"/>
  <c r="BZ268" i="22"/>
  <c r="CB268" i="22"/>
  <c r="E269" i="22"/>
  <c r="S269" i="22"/>
  <c r="T269" i="22"/>
  <c r="V269" i="22"/>
  <c r="W269" i="22"/>
  <c r="AA269" i="22"/>
  <c r="AB269" i="22"/>
  <c r="AC269" i="22"/>
  <c r="AD269" i="22"/>
  <c r="AE269" i="22"/>
  <c r="AG269" i="22"/>
  <c r="AH269" i="22"/>
  <c r="AI269" i="22"/>
  <c r="AJ269" i="22"/>
  <c r="AK269" i="22"/>
  <c r="AL269" i="22"/>
  <c r="AQ269" i="22"/>
  <c r="AV269" i="22"/>
  <c r="AX269" i="22"/>
  <c r="BC269" i="22"/>
  <c r="BD269" i="22"/>
  <c r="BG269" i="22"/>
  <c r="BH269" i="22"/>
  <c r="BJ269" i="22"/>
  <c r="BK269" i="22"/>
  <c r="BL269" i="22"/>
  <c r="BM269" i="22"/>
  <c r="BO269" i="22"/>
  <c r="BR269" i="22"/>
  <c r="BS269" i="22"/>
  <c r="BT269" i="22"/>
  <c r="BW269" i="22"/>
  <c r="BX269" i="22"/>
  <c r="BY269" i="22"/>
  <c r="CA269" i="22"/>
  <c r="CB269" i="22"/>
  <c r="C270" i="22"/>
  <c r="K270" i="22"/>
  <c r="L270" i="22"/>
  <c r="M270" i="22"/>
  <c r="N270" i="22"/>
  <c r="R270" i="22"/>
  <c r="S270" i="22"/>
  <c r="T270" i="22"/>
  <c r="W270" i="22"/>
  <c r="X270" i="22"/>
  <c r="Y270" i="22"/>
  <c r="Z270" i="22"/>
  <c r="AA270" i="22"/>
  <c r="AB270" i="22"/>
  <c r="AD270" i="22"/>
  <c r="AF270" i="22"/>
  <c r="AH270" i="22"/>
  <c r="AJ270" i="22"/>
  <c r="AK270" i="22"/>
  <c r="AP270" i="22"/>
  <c r="AQ270" i="22"/>
  <c r="AR270" i="22"/>
  <c r="AV270" i="22"/>
  <c r="AW270" i="22"/>
  <c r="AX270" i="22"/>
  <c r="AY270" i="22"/>
  <c r="BG270" i="22"/>
  <c r="BI270" i="22"/>
  <c r="BO270" i="22"/>
  <c r="BP270" i="22"/>
  <c r="BR270" i="22"/>
  <c r="BT270" i="22"/>
  <c r="BV270" i="22"/>
  <c r="BW270" i="22"/>
  <c r="BZ270" i="22"/>
  <c r="CB270" i="22"/>
  <c r="A271" i="22"/>
  <c r="B271" i="22"/>
  <c r="C271" i="22"/>
  <c r="G271" i="22"/>
  <c r="I271" i="22"/>
  <c r="J271" i="22"/>
  <c r="R271" i="22"/>
  <c r="T271" i="22"/>
  <c r="U271" i="22"/>
  <c r="V271" i="22"/>
  <c r="AA271" i="22"/>
  <c r="AC271" i="22"/>
  <c r="AE271" i="22"/>
  <c r="AF271" i="22"/>
  <c r="AG271" i="22"/>
  <c r="AH271" i="22"/>
  <c r="AJ271" i="22"/>
  <c r="AL271" i="22"/>
  <c r="AP271" i="22"/>
  <c r="AQ271" i="22"/>
  <c r="AU271" i="22"/>
  <c r="AW271" i="22"/>
  <c r="AZ271" i="22"/>
  <c r="BA271" i="22"/>
  <c r="BB271" i="22"/>
  <c r="BE271" i="22"/>
  <c r="BI271" i="22"/>
  <c r="BL271" i="22"/>
  <c r="BO271" i="22"/>
  <c r="BP271" i="22"/>
  <c r="BS271" i="22"/>
  <c r="BV271" i="22"/>
  <c r="BX271" i="22"/>
  <c r="BZ271" i="22"/>
  <c r="B272" i="22"/>
  <c r="D272" i="22"/>
  <c r="G272" i="22"/>
  <c r="H272" i="22"/>
  <c r="J272" i="22"/>
  <c r="K272" i="22"/>
  <c r="L272" i="22"/>
  <c r="M272" i="22"/>
  <c r="Q272" i="22"/>
  <c r="R272" i="22"/>
  <c r="Z272" i="22"/>
  <c r="AA272" i="22"/>
  <c r="AB272" i="22"/>
  <c r="AF272" i="22"/>
  <c r="AJ272" i="22"/>
  <c r="AK272" i="22"/>
  <c r="AN272" i="22"/>
  <c r="AO272" i="22"/>
  <c r="AP272" i="22"/>
  <c r="AR272" i="22"/>
  <c r="AS272" i="22"/>
  <c r="AV272" i="22"/>
  <c r="AW272" i="22"/>
  <c r="AX272" i="22"/>
  <c r="BI272" i="22"/>
  <c r="BK272" i="22"/>
  <c r="BL272" i="22"/>
  <c r="BM272" i="22"/>
  <c r="BP272" i="22"/>
  <c r="BQ272" i="22"/>
  <c r="BR272" i="22"/>
  <c r="BS272" i="22"/>
  <c r="BT272" i="22"/>
  <c r="BU272" i="22"/>
  <c r="BV272" i="22"/>
  <c r="BY272" i="22"/>
  <c r="BZ272" i="22"/>
  <c r="CA272" i="22"/>
  <c r="A273" i="22"/>
  <c r="C273" i="22"/>
  <c r="F273" i="22"/>
  <c r="H273" i="22"/>
  <c r="J273" i="22"/>
  <c r="K273" i="22"/>
  <c r="M273" i="22"/>
  <c r="N273" i="22"/>
  <c r="P273" i="22"/>
  <c r="S273" i="22"/>
  <c r="T273" i="22"/>
  <c r="V273" i="22"/>
  <c r="Z273" i="22"/>
  <c r="AA273" i="22"/>
  <c r="AC273" i="22"/>
  <c r="AF273" i="22"/>
  <c r="AH273" i="22"/>
  <c r="AI273" i="22"/>
  <c r="AJ273" i="22"/>
  <c r="AK273" i="22"/>
  <c r="AL273" i="22"/>
  <c r="AM273" i="22"/>
  <c r="AN273" i="22"/>
  <c r="AO273" i="22"/>
  <c r="AT273" i="22"/>
  <c r="AU273" i="22"/>
  <c r="AV273" i="22"/>
  <c r="AW273" i="22"/>
  <c r="AX273" i="22"/>
  <c r="BB273" i="22"/>
  <c r="BD273" i="22"/>
  <c r="BF273" i="22"/>
  <c r="BG273" i="22"/>
  <c r="BH273" i="22"/>
  <c r="BI273" i="22"/>
  <c r="BT273" i="22"/>
  <c r="BV273" i="22"/>
  <c r="BW273" i="22"/>
  <c r="BX273" i="22"/>
  <c r="BZ273" i="22"/>
  <c r="E274" i="22"/>
  <c r="F274" i="22"/>
  <c r="G274" i="22"/>
  <c r="H274" i="22"/>
  <c r="K274" i="22"/>
  <c r="L274" i="22"/>
  <c r="N274" i="22"/>
  <c r="O274" i="22"/>
  <c r="S274" i="22"/>
  <c r="U274" i="22"/>
  <c r="V274" i="22"/>
  <c r="AD274" i="22"/>
  <c r="AF274" i="22"/>
  <c r="AG274" i="22"/>
  <c r="AH274" i="22"/>
  <c r="AI274" i="22"/>
  <c r="AJ274" i="22"/>
  <c r="AK274" i="22"/>
  <c r="AL274" i="22"/>
  <c r="AM274" i="22"/>
  <c r="AP274" i="22"/>
  <c r="AQ274" i="22"/>
  <c r="AX274" i="22"/>
  <c r="AY274" i="22"/>
  <c r="AZ274" i="22"/>
  <c r="BA274" i="22"/>
  <c r="BF274" i="22"/>
  <c r="BH274" i="22"/>
  <c r="BJ274" i="22"/>
  <c r="BM274" i="22"/>
  <c r="BN274" i="22"/>
  <c r="BO274" i="22"/>
  <c r="BP274" i="22"/>
  <c r="BS274" i="22"/>
  <c r="BT274" i="22"/>
  <c r="BV274" i="22"/>
  <c r="C275" i="22"/>
  <c r="I275" i="22"/>
  <c r="J275" i="22"/>
  <c r="K275" i="22"/>
  <c r="L275" i="22"/>
  <c r="R275" i="22"/>
  <c r="S275" i="22"/>
  <c r="U275" i="22"/>
  <c r="W275" i="22"/>
  <c r="Y275" i="22"/>
  <c r="AD275" i="22"/>
  <c r="AE275" i="22"/>
  <c r="AF275" i="22"/>
  <c r="AG275" i="22"/>
  <c r="AH275" i="22"/>
  <c r="AI275" i="22"/>
  <c r="AM275" i="22"/>
  <c r="AN275" i="22"/>
  <c r="AO275" i="22"/>
  <c r="AP275" i="22"/>
  <c r="AS275" i="22"/>
  <c r="AY275" i="22"/>
  <c r="BG275" i="22"/>
  <c r="BH275" i="22"/>
  <c r="BK275" i="22"/>
  <c r="BL275" i="22"/>
  <c r="BN275" i="22"/>
  <c r="BS275" i="22"/>
  <c r="BU275" i="22"/>
  <c r="BY275" i="22"/>
  <c r="BZ275" i="22"/>
  <c r="C276" i="22"/>
  <c r="D276" i="22"/>
  <c r="F276" i="22"/>
  <c r="G276" i="22"/>
  <c r="I276" i="22"/>
  <c r="M276" i="22"/>
  <c r="O276" i="22"/>
  <c r="R276" i="22"/>
  <c r="S276" i="22"/>
  <c r="T276" i="22"/>
  <c r="U276" i="22"/>
  <c r="Z276" i="22"/>
  <c r="AA276" i="22"/>
  <c r="AB276" i="22"/>
  <c r="AC276" i="22"/>
  <c r="AD276" i="22"/>
  <c r="AE276" i="22"/>
  <c r="AF276" i="22"/>
  <c r="AG276" i="22"/>
  <c r="AK276" i="22"/>
  <c r="AL276" i="22"/>
  <c r="AN276" i="22"/>
  <c r="AP276" i="22"/>
  <c r="AR276" i="22"/>
  <c r="AY276" i="22"/>
  <c r="BA276" i="22"/>
  <c r="BB276" i="22"/>
  <c r="BH276" i="22"/>
  <c r="BI276" i="22"/>
  <c r="BL276" i="22"/>
  <c r="BO276" i="22"/>
  <c r="BP276" i="22"/>
  <c r="BQ276" i="22"/>
  <c r="BR276" i="22"/>
  <c r="BU276" i="22"/>
  <c r="BV276" i="22"/>
  <c r="BW276" i="22"/>
  <c r="BX276" i="22"/>
  <c r="BY276" i="22"/>
  <c r="CA276" i="22"/>
  <c r="B277" i="22"/>
  <c r="C277" i="22"/>
  <c r="D277" i="22"/>
  <c r="E277" i="22"/>
  <c r="F277" i="22"/>
  <c r="L277" i="22"/>
  <c r="M277" i="22"/>
  <c r="N277" i="22"/>
  <c r="O277" i="22"/>
  <c r="P277" i="22"/>
  <c r="R277" i="22"/>
  <c r="T277" i="22"/>
  <c r="U277" i="22"/>
  <c r="V277" i="22"/>
  <c r="W277" i="22"/>
  <c r="X277" i="22"/>
  <c r="Y277" i="22"/>
  <c r="AA277" i="22"/>
  <c r="AC277" i="22"/>
  <c r="AD277" i="22"/>
  <c r="AI277" i="22"/>
  <c r="AK277" i="22"/>
  <c r="AO277" i="22"/>
  <c r="AP277" i="22"/>
  <c r="AR277" i="22"/>
  <c r="AU277" i="22"/>
  <c r="AV277" i="22"/>
  <c r="AX277" i="22"/>
  <c r="BF277" i="22"/>
  <c r="BG277" i="22"/>
  <c r="BI277" i="22"/>
  <c r="BN277" i="22"/>
  <c r="BO277" i="22"/>
  <c r="BP277" i="22"/>
  <c r="BQ277" i="22"/>
  <c r="BU277" i="22"/>
  <c r="BV277" i="22"/>
  <c r="BW277" i="22"/>
  <c r="BX277" i="22"/>
  <c r="BY277" i="22"/>
  <c r="K278" i="22"/>
  <c r="L278" i="22"/>
  <c r="M278" i="22"/>
  <c r="N278" i="22"/>
  <c r="P278" i="22"/>
  <c r="R278" i="22"/>
  <c r="T278" i="22"/>
  <c r="V278" i="22"/>
  <c r="W278" i="22"/>
  <c r="X278" i="22"/>
  <c r="Y278" i="22"/>
  <c r="Z278" i="22"/>
  <c r="AD278" i="22"/>
  <c r="AF278" i="22"/>
  <c r="AG278" i="22"/>
  <c r="AN278" i="22"/>
  <c r="AO278" i="22"/>
  <c r="AP278" i="22"/>
  <c r="AQ278" i="22"/>
  <c r="AU278" i="22"/>
  <c r="AV278" i="22"/>
  <c r="AW278" i="22"/>
  <c r="BB278" i="22"/>
  <c r="BC278" i="22"/>
  <c r="BD278" i="22"/>
  <c r="BE278" i="22"/>
  <c r="BF278" i="22"/>
  <c r="BM278" i="22"/>
  <c r="BN278" i="22"/>
  <c r="BQ278" i="22"/>
  <c r="BR278" i="22"/>
  <c r="BV278" i="22"/>
  <c r="BX278" i="22"/>
  <c r="CA278" i="22"/>
  <c r="CB278" i="22"/>
  <c r="A279" i="22"/>
  <c r="B279" i="22"/>
  <c r="G279" i="22"/>
  <c r="H279" i="22"/>
  <c r="I279" i="22"/>
  <c r="J279" i="22"/>
  <c r="L279" i="22"/>
  <c r="M279" i="22"/>
  <c r="T279" i="22"/>
  <c r="U279" i="22"/>
  <c r="V279" i="22"/>
  <c r="W279" i="22"/>
  <c r="X279" i="22"/>
  <c r="Y279" i="22"/>
  <c r="Z279" i="22"/>
  <c r="AE279" i="22"/>
  <c r="AF279" i="22"/>
  <c r="AG279" i="22"/>
  <c r="AI279" i="22"/>
  <c r="AL279" i="22"/>
  <c r="AM279" i="22"/>
  <c r="AN279" i="22"/>
  <c r="AO279" i="22"/>
  <c r="AP279" i="22"/>
  <c r="AU279" i="22"/>
  <c r="AW279" i="22"/>
  <c r="AX279" i="22"/>
  <c r="BC279" i="22"/>
  <c r="BD279" i="22"/>
  <c r="BE279" i="22"/>
  <c r="BI279" i="22"/>
  <c r="BK279" i="22"/>
  <c r="BL279" i="22"/>
  <c r="BM279" i="22"/>
  <c r="BN279" i="22"/>
  <c r="BO279" i="22"/>
  <c r="BP279" i="22"/>
  <c r="BQ279" i="22"/>
  <c r="BS279" i="22"/>
  <c r="BU279" i="22"/>
  <c r="BV279" i="22"/>
  <c r="BW279" i="22"/>
  <c r="BX279" i="22"/>
  <c r="BY279" i="22"/>
  <c r="CA279" i="22"/>
  <c r="CB279" i="22"/>
  <c r="C280" i="22"/>
  <c r="D280" i="22"/>
  <c r="E280" i="22"/>
  <c r="F280" i="22"/>
  <c r="K280" i="22"/>
  <c r="L280" i="22"/>
  <c r="M280" i="22"/>
  <c r="O280" i="22"/>
  <c r="Q280" i="22"/>
  <c r="R280" i="22"/>
  <c r="AA280" i="22"/>
  <c r="AB280" i="22"/>
  <c r="AC280" i="22"/>
  <c r="AD280" i="22"/>
  <c r="AE280" i="22"/>
  <c r="AF280" i="22"/>
  <c r="AJ280" i="22"/>
  <c r="AK280" i="22"/>
  <c r="AQ280" i="22"/>
  <c r="AR280" i="22"/>
  <c r="AT280" i="22"/>
  <c r="AY280" i="22"/>
  <c r="BV284" i="22"/>
  <c r="BW284" i="22"/>
  <c r="BX284" i="22"/>
  <c r="BY284" i="22"/>
  <c r="CB284" i="22"/>
  <c r="A285" i="22"/>
  <c r="C285" i="22"/>
  <c r="E285" i="22"/>
  <c r="F285" i="22"/>
  <c r="G285" i="22"/>
  <c r="H285" i="22"/>
  <c r="I285" i="22"/>
  <c r="K285" i="22"/>
  <c r="L285" i="22"/>
  <c r="M285" i="22"/>
  <c r="N285" i="22"/>
  <c r="R285" i="22"/>
  <c r="S285" i="22"/>
  <c r="T285" i="22"/>
  <c r="U285" i="22"/>
  <c r="W285" i="22"/>
  <c r="Y285" i="22"/>
  <c r="Z285" i="22"/>
  <c r="AB285" i="22"/>
  <c r="AC285" i="22"/>
  <c r="AH285" i="22"/>
  <c r="AI285" i="22"/>
  <c r="AJ285" i="22"/>
  <c r="AK285" i="22"/>
  <c r="AL285" i="22"/>
  <c r="AM285" i="22"/>
  <c r="AN285" i="22"/>
  <c r="AS285" i="22"/>
  <c r="AT285" i="22"/>
  <c r="AW285" i="22"/>
  <c r="AY285" i="22"/>
  <c r="AZ285" i="22"/>
  <c r="BA285" i="22"/>
  <c r="BB285" i="22"/>
  <c r="BC285" i="22"/>
  <c r="BD285" i="22"/>
  <c r="BE285" i="22"/>
  <c r="BF285" i="22"/>
  <c r="BH285" i="22"/>
  <c r="BN285" i="22"/>
  <c r="BP285" i="22"/>
  <c r="BQ285" i="22"/>
  <c r="BR285" i="22"/>
  <c r="BW285" i="22"/>
  <c r="CA285" i="22"/>
  <c r="CB285" i="22"/>
  <c r="C286" i="22"/>
  <c r="I286" i="22"/>
  <c r="K286" i="22"/>
  <c r="L286" i="22"/>
  <c r="P286" i="22"/>
  <c r="Q286" i="22"/>
  <c r="S286" i="22"/>
  <c r="U286" i="22"/>
  <c r="W286" i="22"/>
  <c r="X286" i="22"/>
  <c r="AG286" i="22"/>
  <c r="AI286" i="22"/>
  <c r="AK286" i="22"/>
  <c r="AL286" i="22"/>
  <c r="AM286" i="22"/>
  <c r="AR286" i="22"/>
  <c r="AS286" i="22"/>
  <c r="AT286" i="22"/>
  <c r="AV286" i="22"/>
  <c r="AY286" i="22"/>
  <c r="AZ286" i="22"/>
  <c r="BA286" i="22"/>
  <c r="BB286" i="22"/>
  <c r="BC286" i="22"/>
  <c r="BD286" i="22"/>
  <c r="BE286" i="22"/>
  <c r="BF286" i="22"/>
  <c r="BG286" i="22"/>
  <c r="BH286" i="22"/>
  <c r="BJ286" i="22"/>
  <c r="BM286" i="22"/>
  <c r="BN286" i="22"/>
  <c r="BO286" i="22"/>
  <c r="BP286" i="22"/>
  <c r="BQ286" i="22"/>
  <c r="BT286" i="22"/>
  <c r="BU286" i="22"/>
  <c r="B287" i="22"/>
  <c r="E287" i="22"/>
  <c r="F287" i="22"/>
  <c r="G287" i="22"/>
  <c r="H287" i="22"/>
  <c r="J287" i="22"/>
  <c r="O287" i="22"/>
  <c r="P287" i="22"/>
  <c r="R287" i="22"/>
  <c r="T287" i="22"/>
  <c r="X287" i="22"/>
  <c r="Z287" i="22"/>
  <c r="AA287" i="22"/>
  <c r="AD287" i="22"/>
  <c r="AG287" i="22"/>
  <c r="AH287" i="22"/>
  <c r="AL287" i="22"/>
  <c r="AO287" i="22"/>
  <c r="AP287" i="22"/>
  <c r="AS287" i="22"/>
  <c r="AT287" i="22"/>
  <c r="AU287" i="22"/>
  <c r="AV287" i="22"/>
  <c r="AW287" i="22"/>
  <c r="AZ287" i="22"/>
  <c r="BA287" i="22"/>
  <c r="BB287" i="22"/>
  <c r="BC287" i="22"/>
  <c r="BD287" i="22"/>
  <c r="BE287" i="22"/>
  <c r="BG287" i="22"/>
  <c r="BH287" i="22"/>
  <c r="BI287" i="22"/>
  <c r="BJ287" i="22"/>
  <c r="BK287" i="22"/>
  <c r="BL287" i="22"/>
  <c r="BM287" i="22"/>
  <c r="BN287" i="22"/>
  <c r="BO287" i="22"/>
  <c r="BP287" i="22"/>
  <c r="BQ287" i="22"/>
  <c r="BV287" i="22"/>
  <c r="BW287" i="22"/>
  <c r="CB287" i="22"/>
  <c r="C288" i="22"/>
  <c r="I288" i="22"/>
  <c r="J288" i="22"/>
  <c r="K288" i="22"/>
  <c r="L288" i="22"/>
  <c r="P288" i="22"/>
  <c r="Q288" i="22"/>
  <c r="R288" i="22"/>
  <c r="S288" i="22"/>
  <c r="U288" i="22"/>
  <c r="W288" i="22"/>
  <c r="Y288" i="22"/>
  <c r="Z288" i="22"/>
  <c r="AA288" i="22"/>
  <c r="AB288" i="22"/>
  <c r="AC288" i="22"/>
  <c r="AD288" i="22"/>
  <c r="AL288" i="22"/>
  <c r="AM288" i="22"/>
  <c r="AO288" i="22"/>
  <c r="AQ288" i="22"/>
  <c r="AU288" i="22"/>
  <c r="AV288" i="22"/>
  <c r="AW288" i="22"/>
  <c r="AX288" i="22"/>
  <c r="AY288" i="22"/>
  <c r="AZ288" i="22"/>
  <c r="BB288" i="22"/>
  <c r="BD288" i="22"/>
  <c r="BO288" i="22"/>
  <c r="BP288" i="22"/>
  <c r="BQ288" i="22"/>
  <c r="BT288" i="22"/>
  <c r="BV288" i="22"/>
  <c r="BW288" i="22"/>
  <c r="BY288" i="22"/>
  <c r="A289" i="22"/>
  <c r="B289" i="22"/>
  <c r="C289" i="22"/>
  <c r="Y289" i="22"/>
  <c r="AJ293" i="22"/>
  <c r="AK293" i="22"/>
  <c r="AL293" i="22"/>
  <c r="AM293" i="22"/>
  <c r="AN293" i="22"/>
  <c r="AO293" i="22"/>
  <c r="AP293" i="22"/>
  <c r="AQ293" i="22"/>
  <c r="AR293" i="22"/>
  <c r="AS293" i="22"/>
  <c r="AT293" i="22"/>
  <c r="AU293" i="22"/>
  <c r="AV293" i="22"/>
  <c r="AW293" i="22"/>
  <c r="AX293" i="22"/>
  <c r="AY293" i="22"/>
  <c r="AZ293" i="22"/>
  <c r="BA293" i="22"/>
  <c r="BB293" i="22"/>
  <c r="BC293" i="22"/>
  <c r="BD293" i="22"/>
  <c r="BE293" i="22"/>
  <c r="BF293" i="22"/>
  <c r="BG293" i="22"/>
  <c r="BH293" i="22"/>
  <c r="BI293" i="22"/>
  <c r="BJ293" i="22"/>
  <c r="BK293" i="22"/>
  <c r="BL293" i="22"/>
  <c r="BM293" i="22"/>
  <c r="BN293" i="22"/>
  <c r="BO293" i="22"/>
  <c r="BP293" i="22"/>
  <c r="BQ293" i="22"/>
  <c r="BR293" i="22"/>
  <c r="BS293" i="22"/>
  <c r="BT293" i="22"/>
  <c r="BU293" i="22"/>
  <c r="BV293" i="22"/>
  <c r="BW293" i="22"/>
  <c r="BX293" i="22"/>
  <c r="BY293" i="22"/>
  <c r="BZ293" i="22"/>
  <c r="CA293" i="22"/>
  <c r="CB293" i="22"/>
  <c r="A294" i="22"/>
  <c r="B294" i="22"/>
  <c r="C294" i="22"/>
  <c r="D294" i="22"/>
  <c r="E294" i="22"/>
  <c r="F294" i="22"/>
  <c r="G294" i="22"/>
  <c r="H294" i="22"/>
  <c r="I294" i="22"/>
  <c r="J294" i="22"/>
  <c r="K294" i="22"/>
  <c r="L294" i="22"/>
  <c r="M294" i="22"/>
  <c r="N294" i="22"/>
  <c r="O294" i="22"/>
  <c r="P294" i="22"/>
  <c r="Q294" i="22"/>
  <c r="R294" i="22"/>
  <c r="S294" i="22"/>
  <c r="T294" i="22"/>
  <c r="U294" i="22"/>
  <c r="V294" i="22"/>
  <c r="W294" i="22"/>
  <c r="X294" i="22"/>
  <c r="Y294" i="22"/>
  <c r="Z294" i="22"/>
  <c r="AA294" i="22"/>
  <c r="AB294" i="22"/>
  <c r="AC294" i="22"/>
  <c r="AD294" i="22"/>
  <c r="AE294" i="22"/>
  <c r="AF294" i="22"/>
  <c r="AG294" i="22"/>
  <c r="AH294" i="22"/>
  <c r="AI294" i="22"/>
  <c r="AJ294" i="22"/>
  <c r="AK294" i="22"/>
  <c r="AL294" i="22"/>
  <c r="AM294" i="22"/>
  <c r="AN294" i="22"/>
  <c r="AO294" i="22"/>
  <c r="AP294" i="22"/>
  <c r="AQ294" i="22"/>
  <c r="AR294" i="22"/>
  <c r="AS294" i="22"/>
  <c r="AT294" i="22"/>
  <c r="AU294" i="22"/>
  <c r="AV294" i="22"/>
  <c r="AW294" i="22"/>
  <c r="AX294" i="22"/>
  <c r="AY294" i="22"/>
  <c r="AZ294" i="22"/>
  <c r="BA294" i="22"/>
  <c r="BB294" i="22"/>
  <c r="BC294" i="22"/>
  <c r="BD294" i="22"/>
  <c r="BE294" i="22"/>
  <c r="BF294" i="22"/>
  <c r="BG294" i="22"/>
  <c r="BH294" i="22"/>
  <c r="BI294" i="22"/>
  <c r="BJ294" i="22"/>
  <c r="BK294" i="22"/>
  <c r="BL294" i="22"/>
  <c r="BM294" i="22"/>
  <c r="BN294" i="22"/>
  <c r="BO294" i="22"/>
  <c r="BP294" i="22"/>
  <c r="BQ294" i="22"/>
  <c r="BR294" i="22"/>
  <c r="BS294" i="22"/>
  <c r="BT294" i="22"/>
  <c r="BU294" i="22"/>
  <c r="BV294" i="22"/>
  <c r="BW294" i="22"/>
  <c r="BX294" i="22"/>
  <c r="BY294" i="22"/>
  <c r="BZ294" i="22"/>
  <c r="CA294" i="22"/>
  <c r="CB294" i="22"/>
  <c r="A295" i="22"/>
  <c r="B295" i="22"/>
  <c r="C295" i="22"/>
  <c r="D295" i="22"/>
  <c r="E295" i="22"/>
  <c r="F295" i="22"/>
  <c r="G295" i="22"/>
  <c r="H295" i="22"/>
  <c r="I295" i="22"/>
  <c r="J295" i="22"/>
  <c r="K295" i="22"/>
  <c r="L295" i="22"/>
  <c r="M295" i="22"/>
  <c r="N295" i="22"/>
  <c r="O295" i="22"/>
  <c r="P295" i="22"/>
  <c r="Q295" i="22"/>
  <c r="R295" i="22"/>
  <c r="S295" i="22"/>
  <c r="T295" i="22"/>
  <c r="U295" i="22"/>
  <c r="V295" i="22"/>
  <c r="W295" i="22"/>
  <c r="X295" i="22"/>
  <c r="Y295" i="22"/>
  <c r="Z295" i="22"/>
  <c r="AA295" i="22"/>
  <c r="AB295" i="22"/>
  <c r="AC295" i="22"/>
  <c r="AD295" i="22"/>
  <c r="AE295" i="22"/>
  <c r="AF295" i="22"/>
  <c r="AG295" i="22"/>
  <c r="AH295" i="22"/>
  <c r="AI295" i="22"/>
  <c r="AJ295" i="22"/>
  <c r="AK295" i="22"/>
  <c r="AL295" i="22"/>
  <c r="AM295" i="22"/>
  <c r="AN295" i="22"/>
  <c r="AO295" i="22"/>
  <c r="AP295" i="22"/>
  <c r="AQ295" i="22"/>
  <c r="AR295" i="22"/>
  <c r="AS295" i="22"/>
  <c r="AT295" i="22"/>
  <c r="AU295" i="22"/>
  <c r="AV295" i="22"/>
  <c r="AW295" i="22"/>
  <c r="AX295" i="22"/>
  <c r="AY295" i="22"/>
  <c r="AZ295" i="22"/>
  <c r="BA295" i="22"/>
  <c r="BB295" i="22"/>
  <c r="BC295" i="22"/>
  <c r="BD295" i="22"/>
  <c r="BE295" i="22"/>
  <c r="BF295" i="22"/>
  <c r="BG295" i="22"/>
  <c r="BH295" i="22"/>
  <c r="BI295" i="22"/>
  <c r="BJ295" i="22"/>
  <c r="BK295" i="22"/>
  <c r="BL295" i="22"/>
  <c r="BM295" i="22"/>
  <c r="BN295" i="22"/>
  <c r="BO295" i="22"/>
  <c r="BP295" i="22"/>
  <c r="BQ295" i="22"/>
  <c r="BR295" i="22"/>
  <c r="BS295" i="22"/>
  <c r="BT295" i="22"/>
  <c r="BU295" i="22"/>
  <c r="BV295" i="22"/>
  <c r="BW295" i="22"/>
  <c r="BX295" i="22"/>
  <c r="BY295" i="22"/>
  <c r="BZ295" i="22"/>
  <c r="CA295" i="22"/>
  <c r="CB295" i="22"/>
  <c r="A296" i="22"/>
  <c r="B296" i="22"/>
  <c r="C296" i="22"/>
  <c r="D296" i="22"/>
  <c r="E296" i="22"/>
  <c r="F296" i="22"/>
  <c r="G296" i="22"/>
  <c r="H296" i="22"/>
  <c r="I296" i="22"/>
  <c r="J296" i="22"/>
  <c r="K296" i="22"/>
  <c r="L296" i="22"/>
  <c r="M296" i="22"/>
  <c r="N296" i="22"/>
  <c r="O296" i="22"/>
  <c r="P296" i="22"/>
  <c r="Q296" i="22"/>
  <c r="R296" i="22"/>
  <c r="S296" i="22"/>
  <c r="T296" i="22"/>
  <c r="U296" i="22"/>
  <c r="V296" i="22"/>
  <c r="W296" i="22"/>
  <c r="X296" i="22"/>
  <c r="Y296" i="22"/>
  <c r="Z296" i="22"/>
  <c r="AA296" i="22"/>
  <c r="AB296" i="22"/>
  <c r="AC296" i="22"/>
  <c r="AD296" i="22"/>
  <c r="AE296" i="22"/>
  <c r="AF296" i="22"/>
  <c r="AG296" i="22"/>
  <c r="AH296" i="22"/>
  <c r="AI296" i="22"/>
  <c r="AJ296" i="22"/>
  <c r="AK296" i="22"/>
  <c r="AL296" i="22"/>
  <c r="AM296" i="22"/>
  <c r="AN296" i="22"/>
  <c r="AO296" i="22"/>
  <c r="AP296" i="22"/>
  <c r="AQ296" i="22"/>
  <c r="AR296" i="22"/>
  <c r="AS296" i="22"/>
  <c r="AT296" i="22"/>
  <c r="AU296" i="22"/>
  <c r="AV296" i="22"/>
  <c r="AW296" i="22"/>
  <c r="AX296" i="22"/>
  <c r="AY296" i="22"/>
  <c r="AZ296" i="22"/>
  <c r="BA296" i="22"/>
  <c r="BB296" i="22"/>
  <c r="BC296" i="22"/>
  <c r="BD296" i="22"/>
  <c r="BE296" i="22"/>
  <c r="BF296" i="22"/>
  <c r="BG296" i="22"/>
  <c r="BH296" i="22"/>
  <c r="BI296" i="22"/>
  <c r="BJ296" i="22"/>
  <c r="BK296" i="22"/>
  <c r="BL296" i="22"/>
  <c r="BM296" i="22"/>
  <c r="BN296" i="22"/>
  <c r="BO296" i="22"/>
  <c r="BP296" i="22"/>
  <c r="BQ296" i="22"/>
  <c r="BR296" i="22"/>
  <c r="BS296" i="22"/>
  <c r="BT296" i="22"/>
  <c r="BU296" i="22"/>
  <c r="BV296" i="22"/>
  <c r="BW296" i="22"/>
  <c r="BX296" i="22"/>
  <c r="BY296" i="22"/>
  <c r="BZ296" i="22"/>
  <c r="CA296" i="22"/>
  <c r="CB296" i="22"/>
  <c r="A297" i="22"/>
  <c r="B297" i="22"/>
  <c r="C297" i="22"/>
  <c r="D297" i="22"/>
  <c r="E297" i="22"/>
  <c r="F297" i="22"/>
  <c r="G297" i="22"/>
  <c r="H297" i="22"/>
  <c r="I297" i="22"/>
  <c r="J297" i="22"/>
  <c r="K297" i="22"/>
  <c r="L297" i="22"/>
  <c r="M297" i="22"/>
  <c r="N297" i="22"/>
  <c r="O297" i="22"/>
  <c r="P297" i="22"/>
  <c r="Q297" i="22"/>
  <c r="R297" i="22"/>
  <c r="S297" i="22"/>
  <c r="T297" i="22"/>
  <c r="U297" i="22"/>
  <c r="V297" i="22"/>
  <c r="W297" i="22"/>
  <c r="X297" i="22"/>
  <c r="Y297" i="22"/>
  <c r="Z297" i="22"/>
  <c r="AA297" i="22"/>
  <c r="AB297" i="22"/>
  <c r="AC297" i="22"/>
  <c r="AD297" i="22"/>
  <c r="AE297" i="22"/>
  <c r="AF297" i="22"/>
  <c r="AG297" i="22"/>
  <c r="AH297" i="22"/>
  <c r="AI297" i="22"/>
  <c r="AJ297" i="22"/>
  <c r="AK297" i="22"/>
  <c r="AL297" i="22"/>
  <c r="AM297" i="22"/>
  <c r="AN297" i="22"/>
  <c r="AO297" i="22"/>
  <c r="AP297" i="22"/>
  <c r="AQ297" i="22"/>
  <c r="AR297" i="22"/>
  <c r="AS297" i="22"/>
  <c r="AT297" i="22"/>
  <c r="AU297" i="22"/>
  <c r="AV297" i="22"/>
  <c r="AW297" i="22"/>
  <c r="AX297" i="22"/>
  <c r="AY297" i="22"/>
  <c r="AZ297" i="22"/>
  <c r="BA297" i="22"/>
  <c r="BB297" i="22"/>
  <c r="BC297" i="22"/>
  <c r="BD297" i="22"/>
  <c r="BE297" i="22"/>
  <c r="BF297" i="22"/>
  <c r="BG297" i="22"/>
  <c r="BH297" i="22"/>
  <c r="BI297" i="22"/>
  <c r="BJ297" i="22"/>
  <c r="BK297" i="22"/>
  <c r="BL297" i="22"/>
  <c r="BM297" i="22"/>
  <c r="BN297" i="22"/>
  <c r="BO297" i="22"/>
  <c r="BP297" i="22"/>
  <c r="BQ297" i="22"/>
  <c r="BR297" i="22"/>
  <c r="BS297" i="22"/>
  <c r="BT297" i="22"/>
  <c r="BU297" i="22"/>
  <c r="BV297" i="22"/>
  <c r="BW297" i="22"/>
  <c r="BX297" i="22"/>
  <c r="BY297" i="22"/>
  <c r="BZ297" i="22"/>
  <c r="CA297" i="22"/>
  <c r="CB297" i="22"/>
  <c r="A298" i="22"/>
  <c r="B298" i="22"/>
  <c r="C298" i="22"/>
  <c r="D298" i="22"/>
  <c r="E298" i="22"/>
  <c r="F298" i="22"/>
  <c r="G298" i="22"/>
  <c r="H298" i="22"/>
  <c r="I298" i="22"/>
  <c r="J298" i="22"/>
  <c r="K298" i="22"/>
  <c r="L298" i="22"/>
  <c r="M298" i="22"/>
  <c r="N298" i="22"/>
  <c r="O298" i="22"/>
  <c r="P298" i="22"/>
  <c r="Q298" i="22"/>
  <c r="R298" i="22"/>
  <c r="S298" i="22"/>
  <c r="T298" i="22"/>
  <c r="U298" i="22"/>
  <c r="V298" i="22"/>
  <c r="W298" i="22"/>
  <c r="X298" i="22"/>
  <c r="Y298" i="22"/>
  <c r="Z298" i="22"/>
  <c r="AA298" i="22"/>
  <c r="AB298" i="22"/>
  <c r="AC298" i="22"/>
  <c r="AD298" i="22"/>
  <c r="AE298" i="22"/>
  <c r="AF298" i="22"/>
  <c r="AG298" i="22"/>
  <c r="AH298" i="22"/>
  <c r="AI298" i="22"/>
  <c r="AJ298" i="22"/>
  <c r="AK298" i="22"/>
  <c r="AL298" i="22"/>
  <c r="AM298" i="22"/>
  <c r="AN298" i="22"/>
  <c r="AO298" i="22"/>
  <c r="AP298" i="22"/>
  <c r="AQ298" i="22"/>
  <c r="AR298" i="22"/>
  <c r="AS298" i="22"/>
  <c r="AT298" i="22"/>
  <c r="AU298" i="22"/>
  <c r="AV298" i="22"/>
  <c r="AW298" i="22"/>
  <c r="AX298" i="22"/>
  <c r="AY298" i="22"/>
  <c r="AZ298" i="22"/>
  <c r="BA298" i="22"/>
  <c r="BB298" i="22"/>
  <c r="BC298" i="22"/>
  <c r="BD298" i="22"/>
  <c r="BE298" i="22"/>
  <c r="BF298" i="22"/>
  <c r="BG298" i="22"/>
  <c r="BH298" i="22"/>
  <c r="BI298" i="22"/>
  <c r="BJ298" i="22"/>
  <c r="BK298" i="22"/>
  <c r="BL298" i="22"/>
  <c r="BM298" i="22"/>
  <c r="BN298" i="22"/>
  <c r="BO298" i="22"/>
  <c r="BP298" i="22"/>
  <c r="BQ298" i="22"/>
  <c r="BR298" i="22"/>
  <c r="BS298" i="22"/>
  <c r="BT298" i="22"/>
  <c r="BU298" i="22"/>
  <c r="BV298" i="22"/>
  <c r="BW298" i="22"/>
  <c r="BX298" i="22"/>
  <c r="BY298" i="22"/>
  <c r="BZ298" i="22"/>
  <c r="CA298" i="22"/>
  <c r="CB298" i="22"/>
  <c r="A299" i="22"/>
  <c r="B299" i="22"/>
  <c r="C299" i="22"/>
  <c r="D299" i="22"/>
  <c r="E299" i="22"/>
  <c r="F299" i="22"/>
  <c r="G299" i="22"/>
  <c r="H299" i="22"/>
  <c r="I299" i="22"/>
  <c r="J299" i="22"/>
  <c r="K299" i="22"/>
  <c r="L299" i="22"/>
  <c r="M299" i="22"/>
  <c r="N299" i="22"/>
  <c r="O299" i="22"/>
  <c r="P299" i="22"/>
  <c r="Q299" i="22"/>
  <c r="R299" i="22"/>
  <c r="S299" i="22"/>
  <c r="T299" i="22"/>
  <c r="U299" i="22"/>
  <c r="V299" i="22"/>
  <c r="W299" i="22"/>
  <c r="X299" i="22"/>
  <c r="Y299" i="22"/>
  <c r="Z299" i="22"/>
  <c r="AA299" i="22"/>
  <c r="AB299" i="22"/>
  <c r="AC299" i="22"/>
  <c r="AD299" i="22"/>
  <c r="AE299" i="22"/>
  <c r="AF299" i="22"/>
  <c r="AG299" i="22"/>
  <c r="AH299" i="22"/>
  <c r="AI299" i="22"/>
  <c r="AJ299" i="22"/>
  <c r="AK299" i="22"/>
  <c r="AL299" i="22"/>
  <c r="AM299" i="22"/>
  <c r="AN299" i="22"/>
  <c r="AO299" i="22"/>
  <c r="AP299" i="22"/>
  <c r="AQ299" i="22"/>
  <c r="AR299" i="22"/>
  <c r="AS299" i="22"/>
  <c r="AT299" i="22"/>
  <c r="AU299" i="22"/>
  <c r="AV299" i="22"/>
  <c r="AW299" i="22"/>
  <c r="AX299" i="22"/>
  <c r="AY299" i="22"/>
  <c r="AZ299" i="22"/>
  <c r="BA299" i="22"/>
  <c r="BB299" i="22"/>
  <c r="BC299" i="22"/>
  <c r="BD299" i="22"/>
  <c r="BE299" i="22"/>
  <c r="BF299" i="22"/>
  <c r="BG299" i="22"/>
  <c r="BH299" i="22"/>
  <c r="BI299" i="22"/>
  <c r="BJ299" i="22"/>
  <c r="BK299" i="22"/>
  <c r="BL299" i="22"/>
  <c r="BM299" i="22"/>
  <c r="BN299" i="22"/>
  <c r="BO299" i="22"/>
  <c r="BP299" i="22"/>
  <c r="BQ299" i="22"/>
  <c r="BR299" i="22"/>
  <c r="BS299" i="22"/>
  <c r="BT299" i="22"/>
  <c r="BU299" i="22"/>
  <c r="BV299" i="22"/>
  <c r="BW299" i="22"/>
  <c r="BX299" i="22"/>
  <c r="BY299" i="22"/>
  <c r="BZ299" i="22"/>
  <c r="CA299" i="22"/>
  <c r="CB299" i="22"/>
  <c r="A300" i="22"/>
  <c r="B300" i="22"/>
  <c r="C300" i="22"/>
  <c r="D300" i="22"/>
  <c r="E300" i="22"/>
  <c r="F300" i="22"/>
  <c r="G300" i="22"/>
  <c r="H300" i="22"/>
  <c r="I300" i="22"/>
  <c r="J300" i="22"/>
  <c r="K300" i="22"/>
  <c r="L300" i="22"/>
  <c r="M300" i="22"/>
  <c r="N300" i="22"/>
  <c r="O300" i="22"/>
  <c r="P300" i="22"/>
  <c r="Q300" i="22"/>
  <c r="R300" i="22"/>
  <c r="S300" i="22"/>
  <c r="T300" i="22"/>
  <c r="U300" i="22"/>
  <c r="V300" i="22"/>
  <c r="W300" i="22"/>
  <c r="X300" i="22"/>
  <c r="Y300" i="22"/>
  <c r="Z300" i="22"/>
  <c r="AA300" i="22"/>
  <c r="AB300" i="22"/>
  <c r="AC300" i="22"/>
  <c r="AD300" i="22"/>
  <c r="AE300" i="22"/>
  <c r="AF300" i="22"/>
  <c r="AG300" i="22"/>
  <c r="AH300" i="22"/>
  <c r="AI300" i="22"/>
  <c r="AJ300" i="22"/>
  <c r="AK300" i="22"/>
  <c r="AL300" i="22"/>
  <c r="AM300" i="22"/>
  <c r="AN300" i="22"/>
  <c r="AO300" i="22"/>
  <c r="AP300" i="22"/>
  <c r="AQ300" i="22"/>
  <c r="AR300" i="22"/>
  <c r="AS300" i="22"/>
  <c r="AT300" i="22"/>
  <c r="AU300" i="22"/>
  <c r="AV300" i="22"/>
  <c r="AW300" i="22"/>
  <c r="AX300" i="22"/>
  <c r="AY300" i="22"/>
  <c r="AZ300" i="22"/>
  <c r="BA300" i="22"/>
  <c r="BB300" i="22"/>
  <c r="BC300" i="22"/>
  <c r="BD300" i="22"/>
  <c r="BE300" i="22"/>
  <c r="BF300" i="22"/>
  <c r="BG300" i="22"/>
  <c r="BH300" i="22"/>
  <c r="BI300" i="22"/>
  <c r="BJ300" i="22"/>
  <c r="BK300" i="22"/>
  <c r="BL300" i="22"/>
  <c r="BM300" i="22"/>
  <c r="BN300" i="22"/>
  <c r="BO300" i="22"/>
  <c r="BP300" i="22"/>
  <c r="BQ300" i="22"/>
  <c r="BR300" i="22"/>
  <c r="BS300" i="22"/>
  <c r="BT300" i="22"/>
  <c r="BU300" i="22"/>
  <c r="BV300" i="22"/>
  <c r="BW300" i="22"/>
  <c r="BX300" i="22"/>
  <c r="BY300" i="22"/>
  <c r="BZ300" i="22"/>
  <c r="CA300" i="22"/>
  <c r="CB300" i="22"/>
  <c r="A301" i="22"/>
  <c r="B301" i="22"/>
  <c r="C301" i="22"/>
  <c r="D301" i="22"/>
  <c r="E301" i="22"/>
  <c r="F301" i="22"/>
  <c r="G301" i="22"/>
  <c r="H301" i="22"/>
  <c r="I301" i="22"/>
  <c r="J301" i="22"/>
  <c r="K301" i="22"/>
  <c r="L301" i="22"/>
  <c r="M301" i="22"/>
  <c r="N301" i="22"/>
  <c r="O301" i="22"/>
  <c r="P301" i="22"/>
  <c r="Q301" i="22"/>
  <c r="R301" i="22"/>
  <c r="S301" i="22"/>
  <c r="T301" i="22"/>
  <c r="U301" i="22"/>
  <c r="V301" i="22"/>
  <c r="W301" i="22"/>
  <c r="X301" i="22"/>
  <c r="Y301" i="22"/>
  <c r="Z301" i="22"/>
  <c r="AA301" i="22"/>
  <c r="AB301" i="22"/>
  <c r="AC301" i="22"/>
  <c r="AD301" i="22"/>
  <c r="AE301" i="22"/>
  <c r="AF301" i="22"/>
  <c r="AG301" i="22"/>
  <c r="AH301" i="22"/>
  <c r="AI301" i="22"/>
  <c r="AJ301" i="22"/>
  <c r="AK301" i="22"/>
  <c r="AL301" i="22"/>
  <c r="AM301" i="22"/>
  <c r="AN301" i="22"/>
  <c r="AO301" i="22"/>
  <c r="AP301" i="22"/>
  <c r="AQ301" i="22"/>
  <c r="AR301" i="22"/>
  <c r="AS301" i="22"/>
  <c r="AT301" i="22"/>
  <c r="AU301" i="22"/>
  <c r="AV301" i="22"/>
  <c r="AW301" i="22"/>
  <c r="AX301" i="22"/>
  <c r="AY301" i="22"/>
  <c r="AZ301" i="22"/>
  <c r="BA301" i="22"/>
  <c r="BB301" i="22"/>
  <c r="BC301" i="22"/>
  <c r="BD301" i="22"/>
  <c r="BE301" i="22"/>
  <c r="BF301" i="22"/>
  <c r="BG301" i="22"/>
  <c r="BH301" i="22"/>
  <c r="BI301" i="22"/>
  <c r="BJ301" i="22"/>
  <c r="BK301" i="22"/>
  <c r="BL301" i="22"/>
  <c r="BM301" i="22"/>
  <c r="BN301" i="22"/>
  <c r="BO301" i="22"/>
  <c r="BP301" i="22"/>
  <c r="BQ301" i="22"/>
  <c r="BR301" i="22"/>
  <c r="BS301" i="22"/>
  <c r="BT301" i="22"/>
  <c r="BU301" i="22"/>
  <c r="BV301" i="22"/>
  <c r="BW301" i="22"/>
  <c r="BX301" i="22"/>
  <c r="BY301" i="22"/>
  <c r="BZ301" i="22"/>
  <c r="CA301" i="22"/>
  <c r="CB301" i="22"/>
  <c r="A302" i="22"/>
  <c r="B302" i="22"/>
  <c r="C302" i="22"/>
  <c r="D302" i="22"/>
  <c r="E302" i="22"/>
  <c r="F302" i="22"/>
  <c r="G302" i="22"/>
  <c r="H302" i="22"/>
  <c r="I302" i="22"/>
  <c r="J302" i="22"/>
  <c r="K302" i="22"/>
  <c r="L302" i="22"/>
  <c r="M302" i="22"/>
  <c r="N302" i="22"/>
  <c r="O302" i="22"/>
  <c r="P302" i="22"/>
  <c r="Q302" i="22"/>
  <c r="R302" i="22"/>
  <c r="S302" i="22"/>
  <c r="T302" i="22"/>
  <c r="U302" i="22"/>
  <c r="V302" i="22"/>
  <c r="W302" i="22"/>
  <c r="X302" i="22"/>
  <c r="Y302" i="22"/>
  <c r="Z302" i="22"/>
  <c r="AA302" i="22"/>
  <c r="AB302" i="22"/>
  <c r="AC302" i="22"/>
  <c r="AD302" i="22"/>
  <c r="AE302" i="22"/>
  <c r="AF302" i="22"/>
  <c r="AG302" i="22"/>
  <c r="AH302" i="22"/>
  <c r="AI302" i="22"/>
  <c r="AJ302" i="22"/>
  <c r="AK302" i="22"/>
  <c r="AL302" i="22"/>
  <c r="AM302" i="22"/>
  <c r="AN302" i="22"/>
  <c r="AO302" i="22"/>
  <c r="AP302" i="22"/>
  <c r="AQ302" i="22"/>
  <c r="AR302" i="22"/>
  <c r="AS302" i="22"/>
  <c r="AT302" i="22"/>
  <c r="AU302" i="22"/>
  <c r="AV302" i="22"/>
  <c r="AW302" i="22"/>
  <c r="AX302" i="22"/>
  <c r="AY302" i="22"/>
  <c r="AZ302" i="22"/>
  <c r="BA302" i="22"/>
  <c r="BB302" i="22"/>
  <c r="BC302" i="22"/>
  <c r="BD302" i="22"/>
  <c r="BE302" i="22"/>
  <c r="BF302" i="22"/>
  <c r="BG302" i="22"/>
  <c r="BH302" i="22"/>
  <c r="BI302" i="22"/>
  <c r="BJ302" i="22"/>
  <c r="BK302" i="22"/>
  <c r="BL302" i="22"/>
  <c r="BM302" i="22"/>
  <c r="BN302" i="22"/>
  <c r="BO302" i="22"/>
  <c r="BP302" i="22"/>
  <c r="BQ302" i="22"/>
  <c r="BR302" i="22"/>
  <c r="BS302" i="22"/>
  <c r="BT302" i="22"/>
  <c r="BU302" i="22"/>
  <c r="BV302" i="22"/>
  <c r="BW302" i="22"/>
  <c r="BX302" i="22"/>
  <c r="BY302" i="22"/>
  <c r="BZ302" i="22"/>
  <c r="CA302" i="22"/>
  <c r="CB302" i="22"/>
  <c r="A303" i="22"/>
  <c r="B303" i="22"/>
  <c r="C303" i="22"/>
  <c r="D303" i="22"/>
  <c r="E303" i="22"/>
  <c r="F303" i="22"/>
  <c r="G303" i="22"/>
  <c r="H303" i="22"/>
  <c r="I303" i="22"/>
  <c r="J303" i="22"/>
  <c r="K303" i="22"/>
  <c r="L303" i="22"/>
  <c r="M303" i="22"/>
  <c r="N303" i="22"/>
  <c r="O303" i="22"/>
  <c r="P303" i="22"/>
  <c r="Q303" i="22"/>
  <c r="R303" i="22"/>
  <c r="S303" i="22"/>
  <c r="T303" i="22"/>
  <c r="U303" i="22"/>
  <c r="V303" i="22"/>
  <c r="W303" i="22"/>
  <c r="X303" i="22"/>
  <c r="Y303" i="22"/>
  <c r="Z303" i="22"/>
  <c r="AA303" i="22"/>
  <c r="AB303" i="22"/>
  <c r="AC303" i="22"/>
  <c r="AD303" i="22"/>
  <c r="AE303" i="22"/>
  <c r="AF303" i="22"/>
  <c r="AG303" i="22"/>
  <c r="AH303" i="22"/>
  <c r="AI303" i="22"/>
  <c r="AJ303" i="22"/>
  <c r="AK303" i="22"/>
  <c r="AL303" i="22"/>
  <c r="AM303" i="22"/>
  <c r="AN303" i="22"/>
  <c r="AO303" i="22"/>
  <c r="AP303" i="22"/>
  <c r="AQ303" i="22"/>
  <c r="AR303" i="22"/>
  <c r="AS303" i="22"/>
  <c r="AT303" i="22"/>
  <c r="AU303" i="22"/>
  <c r="AV303" i="22"/>
  <c r="AW303" i="22"/>
  <c r="AX303" i="22"/>
  <c r="AY303" i="22"/>
  <c r="AZ303" i="22"/>
  <c r="BA303" i="22"/>
  <c r="BB303" i="22"/>
  <c r="BC303" i="22"/>
  <c r="BD303" i="22"/>
  <c r="BE303" i="22"/>
  <c r="BF303" i="22"/>
  <c r="BG303" i="22"/>
  <c r="BH303" i="22"/>
  <c r="BI303" i="22"/>
  <c r="BJ303" i="22"/>
  <c r="BK303" i="22"/>
  <c r="BL303" i="22"/>
  <c r="BM303" i="22"/>
  <c r="BN303" i="22"/>
  <c r="BO303" i="22"/>
  <c r="BP303" i="22"/>
  <c r="BQ303" i="22"/>
  <c r="BR303" i="22"/>
  <c r="BS303" i="22"/>
  <c r="BT303" i="22"/>
  <c r="BU303" i="22"/>
  <c r="BV303" i="22"/>
  <c r="BW303" i="22"/>
  <c r="BX303" i="22"/>
  <c r="BY303" i="22"/>
  <c r="BZ303" i="22"/>
  <c r="CA303" i="22"/>
  <c r="CB303" i="22"/>
  <c r="A304" i="22"/>
  <c r="B304" i="22"/>
  <c r="C304" i="22"/>
  <c r="D304" i="22"/>
  <c r="E304" i="22"/>
  <c r="F304" i="22"/>
  <c r="G304" i="22"/>
  <c r="H304" i="22"/>
  <c r="I304" i="22"/>
  <c r="J304" i="22"/>
  <c r="K304" i="22"/>
  <c r="L304" i="22"/>
  <c r="M304" i="22"/>
  <c r="N304" i="22"/>
  <c r="O304" i="22"/>
  <c r="P304" i="22"/>
  <c r="Q304" i="22"/>
  <c r="R304" i="22"/>
  <c r="S304" i="22"/>
  <c r="T304" i="22"/>
  <c r="U304" i="22"/>
  <c r="V304" i="22"/>
  <c r="W304" i="22"/>
  <c r="X304" i="22"/>
  <c r="Y304" i="22"/>
  <c r="Z304" i="22"/>
  <c r="AA304" i="22"/>
  <c r="AB304" i="22"/>
  <c r="AC304" i="22"/>
  <c r="AD304" i="22"/>
  <c r="AE304" i="22"/>
  <c r="AF304" i="22"/>
  <c r="AG304" i="22"/>
  <c r="AH304" i="22"/>
  <c r="AI304" i="22"/>
  <c r="AJ304" i="22"/>
  <c r="AK304" i="22"/>
  <c r="AL304" i="22"/>
  <c r="AM304" i="22"/>
  <c r="AN304" i="22"/>
  <c r="AO304" i="22"/>
  <c r="AP304" i="22"/>
  <c r="AQ304" i="22"/>
  <c r="AR304" i="22"/>
  <c r="AS304" i="22"/>
  <c r="AT304" i="22"/>
  <c r="AU304" i="22"/>
  <c r="AV304" i="22"/>
  <c r="AW304" i="22"/>
  <c r="AX304" i="22"/>
  <c r="AY304" i="22"/>
  <c r="AZ304" i="22"/>
  <c r="BA304" i="22"/>
  <c r="BB304" i="22"/>
  <c r="BC304" i="22"/>
  <c r="BD304" i="22"/>
  <c r="BE304" i="22"/>
  <c r="BF304" i="22"/>
  <c r="BG304" i="22"/>
  <c r="BH304" i="22"/>
  <c r="BI304" i="22"/>
  <c r="BJ304" i="22"/>
  <c r="BK304" i="22"/>
  <c r="BL304" i="22"/>
  <c r="BM304" i="22"/>
  <c r="BN304" i="22"/>
  <c r="BO304" i="22"/>
  <c r="BP304" i="22"/>
  <c r="BQ304" i="22"/>
  <c r="BR304" i="22"/>
  <c r="BS304" i="22"/>
  <c r="BT304" i="22"/>
  <c r="BU304" i="22"/>
  <c r="BV304" i="22"/>
  <c r="BW304" i="22"/>
  <c r="BX304" i="22"/>
  <c r="BY304" i="22"/>
  <c r="BZ304" i="22"/>
  <c r="CA304" i="22"/>
  <c r="CB304" i="22"/>
  <c r="A305" i="22"/>
  <c r="B305" i="22"/>
  <c r="C305" i="22"/>
  <c r="D305" i="22"/>
  <c r="E305" i="22"/>
  <c r="F305" i="22"/>
  <c r="G305" i="22"/>
  <c r="H305" i="22"/>
  <c r="I305" i="22"/>
  <c r="J305" i="22"/>
  <c r="K305" i="22"/>
  <c r="L305" i="22"/>
  <c r="M305" i="22"/>
  <c r="N305" i="22"/>
  <c r="O305" i="22"/>
  <c r="P305" i="22"/>
  <c r="Q305" i="22"/>
  <c r="R305" i="22"/>
  <c r="S305" i="22"/>
  <c r="T305" i="22"/>
  <c r="U305" i="22"/>
  <c r="V305" i="22"/>
  <c r="W305" i="22"/>
  <c r="X305" i="22"/>
  <c r="Y305" i="22"/>
  <c r="Z305" i="22"/>
  <c r="AA305" i="22"/>
  <c r="AB305" i="22"/>
  <c r="AC305" i="22"/>
  <c r="AD305" i="22"/>
  <c r="AE305" i="22"/>
  <c r="AF305" i="22"/>
  <c r="AG305" i="22"/>
  <c r="AH305" i="22"/>
  <c r="AI305" i="22"/>
  <c r="AJ305" i="22"/>
  <c r="AK305" i="22"/>
  <c r="AL305" i="22"/>
  <c r="AM305" i="22"/>
  <c r="AN305" i="22"/>
  <c r="AO305" i="22"/>
  <c r="AP305" i="22"/>
  <c r="AQ305" i="22"/>
  <c r="AR305" i="22"/>
  <c r="AS305" i="22"/>
  <c r="AT305" i="22"/>
  <c r="AU305" i="22"/>
  <c r="AV305" i="22"/>
  <c r="AW305" i="22"/>
  <c r="AX305" i="22"/>
  <c r="AY305" i="22"/>
  <c r="AZ305" i="22"/>
  <c r="BA305" i="22"/>
  <c r="BB305" i="22"/>
  <c r="BC305" i="22"/>
  <c r="BD305" i="22"/>
  <c r="BE305" i="22"/>
  <c r="BF305" i="22"/>
  <c r="BG305" i="22"/>
  <c r="BH305" i="22"/>
  <c r="BI305" i="22"/>
  <c r="BJ305" i="22"/>
  <c r="BK305" i="22"/>
  <c r="BL305" i="22"/>
  <c r="BM305" i="22"/>
  <c r="BN305" i="22"/>
  <c r="BO305" i="22"/>
  <c r="BP305" i="22"/>
  <c r="BQ305" i="22"/>
  <c r="BR305" i="22"/>
  <c r="BS305" i="22"/>
  <c r="BT305" i="22"/>
  <c r="BU305" i="22"/>
  <c r="BV305" i="22"/>
  <c r="BW305" i="22"/>
  <c r="BX305" i="22"/>
  <c r="BY305" i="22"/>
  <c r="BZ305" i="22"/>
  <c r="CA305" i="22"/>
  <c r="CB305" i="22"/>
  <c r="A306" i="22"/>
  <c r="B306" i="22"/>
  <c r="C306" i="22"/>
  <c r="D306" i="22"/>
  <c r="E306" i="22"/>
  <c r="F306" i="22"/>
  <c r="G306" i="22"/>
  <c r="H306" i="22"/>
  <c r="I306" i="22"/>
  <c r="J306" i="22"/>
  <c r="K306" i="22"/>
  <c r="L306" i="22"/>
  <c r="M306" i="22"/>
  <c r="N306" i="22"/>
  <c r="O306" i="22"/>
  <c r="P306" i="22"/>
  <c r="Q306" i="22"/>
  <c r="R306" i="22"/>
  <c r="S306" i="22"/>
  <c r="T306" i="22"/>
  <c r="U306" i="22"/>
  <c r="V306" i="22"/>
  <c r="W306" i="22"/>
  <c r="X306" i="22"/>
  <c r="Y306" i="22"/>
  <c r="Z306" i="22"/>
  <c r="AA306" i="22"/>
  <c r="AB306" i="22"/>
  <c r="AC306" i="22"/>
  <c r="AD306" i="22"/>
  <c r="AE306" i="22"/>
  <c r="AF306" i="22"/>
  <c r="AG306" i="22"/>
  <c r="AH306" i="22"/>
  <c r="AI306" i="22"/>
  <c r="AJ306" i="22"/>
  <c r="AK306" i="22"/>
  <c r="AL306" i="22"/>
  <c r="AM306" i="22"/>
  <c r="AN306" i="22"/>
  <c r="AO306" i="22"/>
  <c r="AP306" i="22"/>
  <c r="AQ306" i="22"/>
  <c r="AR306" i="22"/>
  <c r="AS306" i="22"/>
  <c r="AT306" i="22"/>
  <c r="AU306" i="22"/>
  <c r="AV306" i="22"/>
  <c r="AW306" i="22"/>
  <c r="AX306" i="22"/>
  <c r="AY306" i="22"/>
  <c r="AZ306" i="22"/>
  <c r="BA306" i="22"/>
  <c r="BB306" i="22"/>
  <c r="BC306" i="22"/>
  <c r="BD306" i="22"/>
  <c r="BE306" i="22"/>
  <c r="BF306" i="22"/>
  <c r="BG306" i="22"/>
  <c r="BH306" i="22"/>
  <c r="BI306" i="22"/>
  <c r="BJ306" i="22"/>
  <c r="BK306" i="22"/>
  <c r="BL306" i="22"/>
  <c r="BM306" i="22"/>
  <c r="BN306" i="22"/>
  <c r="BO306" i="22"/>
  <c r="BP306" i="22"/>
  <c r="BQ306" i="22"/>
  <c r="BR306" i="22"/>
  <c r="BS306" i="22"/>
  <c r="BT306" i="22"/>
  <c r="BU306" i="22"/>
  <c r="BV306" i="22"/>
  <c r="BW306" i="22"/>
  <c r="BX306" i="22"/>
  <c r="BY306" i="22"/>
  <c r="BZ306" i="22"/>
  <c r="CA306" i="22"/>
  <c r="CB306" i="22"/>
  <c r="A307" i="22"/>
  <c r="B307" i="22"/>
  <c r="C307" i="22"/>
  <c r="D307" i="22"/>
  <c r="E307" i="22"/>
  <c r="F307" i="22"/>
  <c r="G307" i="22"/>
  <c r="H307" i="22"/>
  <c r="I307" i="22"/>
  <c r="J307" i="22"/>
  <c r="K307" i="22"/>
  <c r="L307" i="22"/>
  <c r="M307" i="22"/>
  <c r="N307" i="22"/>
  <c r="O307" i="22"/>
  <c r="P307" i="22"/>
  <c r="Q307" i="22"/>
  <c r="R307" i="22"/>
  <c r="S307" i="22"/>
  <c r="T307" i="22"/>
  <c r="U307" i="22"/>
  <c r="V307" i="22"/>
  <c r="W307" i="22"/>
  <c r="X307" i="22"/>
  <c r="Y307" i="22"/>
  <c r="Z307" i="22"/>
  <c r="AA307" i="22"/>
  <c r="AB307" i="22"/>
  <c r="AC307" i="22"/>
  <c r="AD307" i="22"/>
  <c r="AE307" i="22"/>
  <c r="AF307" i="22"/>
  <c r="AG307" i="22"/>
  <c r="AH307" i="22"/>
  <c r="AI307" i="22"/>
  <c r="AJ307" i="22"/>
  <c r="AK307" i="22"/>
  <c r="AL307" i="22"/>
  <c r="AM307" i="22"/>
  <c r="AN307" i="22"/>
  <c r="AO307" i="22"/>
  <c r="AP307" i="22"/>
  <c r="AQ307" i="22"/>
  <c r="AR307" i="22"/>
  <c r="AS307" i="22"/>
  <c r="AT307" i="22"/>
  <c r="AU307" i="22"/>
  <c r="AV307" i="22"/>
  <c r="AW307" i="22"/>
  <c r="AX307" i="22"/>
  <c r="AY307" i="22"/>
  <c r="AZ307" i="22"/>
  <c r="BA307" i="22"/>
  <c r="BB307" i="22"/>
  <c r="BC307" i="22"/>
  <c r="BD307" i="22"/>
  <c r="BE307" i="22"/>
  <c r="BF307" i="22"/>
  <c r="BG307" i="22"/>
  <c r="BH307" i="22"/>
  <c r="BI307" i="22"/>
  <c r="BJ307" i="22"/>
  <c r="BK307" i="22"/>
  <c r="BL307" i="22"/>
  <c r="BM307" i="22"/>
  <c r="BN307" i="22"/>
  <c r="BO307" i="22"/>
  <c r="BP307" i="22"/>
  <c r="BQ307" i="22"/>
  <c r="BR307" i="22"/>
  <c r="BS307" i="22"/>
  <c r="BT307" i="22"/>
  <c r="BU307" i="22"/>
  <c r="BV307" i="22"/>
  <c r="BW307" i="22"/>
  <c r="BX307" i="22"/>
  <c r="BY307" i="22"/>
  <c r="BZ307" i="22"/>
  <c r="CA307" i="22"/>
  <c r="CB307" i="22"/>
  <c r="A308" i="22"/>
  <c r="B308" i="22"/>
  <c r="C308" i="22"/>
  <c r="D308" i="22"/>
  <c r="E308" i="22"/>
  <c r="F308" i="22"/>
  <c r="G308" i="22"/>
  <c r="H308" i="22"/>
  <c r="I308" i="22"/>
  <c r="J308" i="22"/>
  <c r="K308" i="22"/>
  <c r="L308" i="22"/>
  <c r="M308" i="22"/>
  <c r="N308" i="22"/>
  <c r="O308" i="22"/>
  <c r="P308" i="22"/>
  <c r="Q308" i="22"/>
  <c r="R308" i="22"/>
  <c r="S308" i="22"/>
  <c r="T308" i="22"/>
  <c r="U308" i="22"/>
  <c r="V308" i="22"/>
  <c r="W308" i="22"/>
  <c r="X308" i="22"/>
  <c r="Y308" i="22"/>
  <c r="Z308" i="22"/>
  <c r="AA308" i="22"/>
  <c r="AB308" i="22"/>
  <c r="AC308" i="22"/>
  <c r="AD308" i="22"/>
  <c r="AE308" i="22"/>
  <c r="AF308" i="22"/>
  <c r="AG308" i="22"/>
  <c r="AH308" i="22"/>
  <c r="AI308" i="22"/>
  <c r="AJ308" i="22"/>
  <c r="AK308" i="22"/>
  <c r="AL308" i="22"/>
  <c r="AM308" i="22"/>
  <c r="AN308" i="22"/>
  <c r="AO308" i="22"/>
  <c r="AP308" i="22"/>
  <c r="AQ308" i="22"/>
  <c r="AR308" i="22"/>
  <c r="AS308" i="22"/>
  <c r="AT308" i="22"/>
  <c r="AU308" i="22"/>
  <c r="AV308" i="22"/>
  <c r="AW308" i="22"/>
  <c r="AX308" i="22"/>
  <c r="AY308" i="22"/>
  <c r="AZ308" i="22"/>
  <c r="BA308" i="22"/>
  <c r="BB308" i="22"/>
  <c r="BC308" i="22"/>
  <c r="BD308" i="22"/>
  <c r="BE308" i="22"/>
  <c r="BF308" i="22"/>
  <c r="BG308" i="22"/>
  <c r="BH308" i="22"/>
  <c r="BI308" i="22"/>
  <c r="BJ308" i="22"/>
  <c r="BK308" i="22"/>
  <c r="BL308" i="22"/>
  <c r="BM308" i="22"/>
  <c r="BN308" i="22"/>
  <c r="BO308" i="22"/>
  <c r="BP308" i="22"/>
  <c r="BQ308" i="22"/>
  <c r="BR308" i="22"/>
  <c r="BS308" i="22"/>
  <c r="BT308" i="22"/>
  <c r="BU308" i="22"/>
  <c r="BV308" i="22"/>
  <c r="BW308" i="22"/>
  <c r="BX308" i="22"/>
  <c r="BY308" i="22"/>
  <c r="BZ308" i="22"/>
  <c r="CA308" i="22"/>
  <c r="CB308" i="22"/>
  <c r="A309" i="22"/>
  <c r="B309" i="22"/>
  <c r="C309" i="22"/>
  <c r="D309" i="22"/>
  <c r="E309" i="22"/>
  <c r="F309" i="22"/>
  <c r="G309" i="22"/>
  <c r="H309" i="22"/>
  <c r="I309" i="22"/>
  <c r="J309" i="22"/>
  <c r="K309" i="22"/>
  <c r="L309" i="22"/>
  <c r="M309" i="22"/>
  <c r="N309" i="22"/>
  <c r="O309" i="22"/>
  <c r="P309" i="22"/>
  <c r="Q309" i="22"/>
  <c r="R309" i="22"/>
  <c r="S309" i="22"/>
  <c r="T309" i="22"/>
  <c r="U309" i="22"/>
  <c r="V309" i="22"/>
  <c r="W309" i="22"/>
  <c r="X309" i="22"/>
  <c r="Y309" i="22"/>
  <c r="Z309" i="22"/>
  <c r="AA309" i="22"/>
  <c r="AB309" i="22"/>
  <c r="AC309" i="22"/>
  <c r="AD309" i="22"/>
  <c r="AE309" i="22"/>
  <c r="AF309" i="22"/>
  <c r="AG309" i="22"/>
  <c r="AH309" i="22"/>
  <c r="AI309" i="22"/>
  <c r="AJ309" i="22"/>
  <c r="AK309" i="22"/>
  <c r="AL309" i="22"/>
  <c r="AM309" i="22"/>
  <c r="AN309" i="22"/>
  <c r="AO309" i="22"/>
  <c r="AP309" i="22"/>
  <c r="AQ309" i="22"/>
  <c r="AR309" i="22"/>
  <c r="AS309" i="22"/>
  <c r="AT309" i="22"/>
  <c r="AU309" i="22"/>
  <c r="AV309" i="22"/>
  <c r="AW309" i="22"/>
  <c r="AX309" i="22"/>
  <c r="AY309" i="22"/>
  <c r="AZ309" i="22"/>
  <c r="BA309" i="22"/>
  <c r="BB309" i="22"/>
  <c r="BC309" i="22"/>
  <c r="BD309" i="22"/>
  <c r="BE309" i="22"/>
  <c r="BF309" i="22"/>
  <c r="BG309" i="22"/>
  <c r="BH309" i="22"/>
  <c r="BI309" i="22"/>
  <c r="BJ309" i="22"/>
  <c r="BK309" i="22"/>
  <c r="BL309" i="22"/>
  <c r="BM309" i="22"/>
  <c r="BN309" i="22"/>
  <c r="BO309" i="22"/>
  <c r="BP309" i="22"/>
  <c r="BQ309" i="22"/>
  <c r="BR309" i="22"/>
  <c r="BS309" i="22"/>
  <c r="BT309" i="22"/>
  <c r="BU309" i="22"/>
  <c r="BV309" i="22"/>
  <c r="BW309" i="22"/>
  <c r="BX309" i="22"/>
  <c r="BY309" i="22"/>
  <c r="BZ309" i="22"/>
  <c r="CA309" i="22"/>
  <c r="CB309" i="22"/>
  <c r="A310" i="22"/>
  <c r="B310" i="22"/>
  <c r="C310" i="22"/>
  <c r="D310" i="22"/>
  <c r="E310" i="22"/>
  <c r="F310" i="22"/>
  <c r="G310" i="22"/>
  <c r="H310" i="22"/>
  <c r="I310" i="22"/>
  <c r="J310" i="22"/>
  <c r="K310" i="22"/>
  <c r="L310" i="22"/>
  <c r="M310" i="22"/>
  <c r="N310" i="22"/>
  <c r="O310" i="22"/>
  <c r="P310" i="22"/>
  <c r="Q310" i="22"/>
  <c r="R310" i="22"/>
  <c r="S310" i="22"/>
  <c r="T310" i="22"/>
  <c r="U310" i="22"/>
  <c r="V310" i="22"/>
  <c r="W310" i="22"/>
  <c r="X310" i="22"/>
  <c r="Y310" i="22"/>
  <c r="Z310" i="22"/>
  <c r="AA310" i="22"/>
  <c r="AB310" i="22"/>
  <c r="AC310" i="22"/>
  <c r="AD310" i="22"/>
  <c r="AE310" i="22"/>
  <c r="AF310" i="22"/>
  <c r="AG310" i="22"/>
  <c r="AH310" i="22"/>
  <c r="AI310" i="22"/>
  <c r="AJ310" i="22"/>
  <c r="AK310" i="22"/>
  <c r="AL310" i="22"/>
  <c r="AM310" i="22"/>
  <c r="BO310" i="22"/>
  <c r="I586" i="22"/>
  <c r="J586" i="22"/>
  <c r="E623" i="22"/>
  <c r="E624" i="22"/>
  <c r="E625" i="22"/>
  <c r="E626" i="22"/>
  <c r="E627" i="22"/>
  <c r="E628" i="22"/>
  <c r="E629" i="22"/>
  <c r="E630" i="22"/>
  <c r="E631" i="22"/>
  <c r="E632" i="22"/>
  <c r="E633" i="22"/>
  <c r="E634" i="22"/>
  <c r="E635" i="22"/>
  <c r="E636" i="22"/>
  <c r="E637" i="22"/>
  <c r="E638" i="22"/>
  <c r="I652" i="22"/>
  <c r="I598" i="22"/>
  <c r="E612" i="22" l="1"/>
  <c r="E639" i="22"/>
  <c r="F586" i="22"/>
  <c r="A339" i="22" a="1"/>
  <c r="E586" i="22"/>
  <c r="B695" i="22" a="1"/>
  <c r="B695" i="22" s="1"/>
  <c r="B675" i="22"/>
  <c r="B694" i="22" a="1"/>
  <c r="B694" i="22" s="1"/>
  <c r="B679" i="22" s="1"/>
  <c r="AA358" i="22" l="1"/>
  <c r="AZ345" i="22"/>
  <c r="BA345" i="22"/>
  <c r="BB345" i="22"/>
  <c r="BC345" i="22"/>
  <c r="BD345" i="22"/>
  <c r="BE345" i="22"/>
  <c r="BF345" i="22"/>
  <c r="BG345" i="22"/>
  <c r="BH345" i="22"/>
  <c r="BI345" i="22"/>
  <c r="BJ345" i="22"/>
  <c r="BK345" i="22"/>
  <c r="BL345" i="22"/>
  <c r="BM345" i="22"/>
  <c r="BN345" i="22"/>
  <c r="BO345" i="22"/>
  <c r="BP345" i="22"/>
  <c r="BQ345" i="22"/>
  <c r="BR345" i="22"/>
  <c r="BS345" i="22"/>
  <c r="BT345" i="22"/>
  <c r="BU345" i="22"/>
  <c r="BV345" i="22"/>
  <c r="BW345" i="22"/>
  <c r="BX345" i="22"/>
  <c r="BY345" i="22"/>
  <c r="BZ345" i="22"/>
  <c r="CA345" i="22"/>
  <c r="CB345" i="22"/>
  <c r="A346" i="22"/>
  <c r="B346" i="22"/>
  <c r="C346" i="22"/>
  <c r="D346" i="22"/>
  <c r="E346" i="22"/>
  <c r="F346" i="22"/>
  <c r="G346" i="22"/>
  <c r="H346" i="22"/>
  <c r="I346" i="22"/>
  <c r="J346" i="22"/>
  <c r="K346" i="22"/>
  <c r="L346" i="22"/>
  <c r="M346" i="22"/>
  <c r="N346" i="22"/>
  <c r="O346" i="22"/>
  <c r="P346" i="22"/>
  <c r="Q346" i="22"/>
  <c r="R346" i="22"/>
  <c r="S346" i="22"/>
  <c r="T346" i="22"/>
  <c r="U346" i="22"/>
  <c r="V346" i="22"/>
  <c r="W346" i="22"/>
  <c r="X346" i="22"/>
  <c r="Y346" i="22"/>
  <c r="Z346" i="22"/>
  <c r="AA346" i="22"/>
  <c r="AB346" i="22"/>
  <c r="AC346" i="22"/>
  <c r="AD346" i="22"/>
  <c r="AE346" i="22"/>
  <c r="AF346" i="22"/>
  <c r="AG346" i="22"/>
  <c r="AH346" i="22"/>
  <c r="AI346" i="22"/>
  <c r="AJ346" i="22"/>
  <c r="AK346" i="22"/>
  <c r="AL346" i="22"/>
  <c r="AM346" i="22"/>
  <c r="AN346" i="22"/>
  <c r="AO346" i="22"/>
  <c r="AP346" i="22"/>
  <c r="AQ346" i="22"/>
  <c r="AR346" i="22"/>
  <c r="AS346" i="22"/>
  <c r="AT346" i="22"/>
  <c r="AU346" i="22"/>
  <c r="AV346" i="22"/>
  <c r="AW346" i="22"/>
  <c r="AX346" i="22"/>
  <c r="AY346" i="22"/>
  <c r="AZ346" i="22"/>
  <c r="BA346" i="22"/>
  <c r="BB346" i="22"/>
  <c r="BC346" i="22"/>
  <c r="BD346" i="22"/>
  <c r="BE346" i="22"/>
  <c r="BF346" i="22"/>
  <c r="BG346" i="22"/>
  <c r="BH346" i="22"/>
  <c r="BI346" i="22"/>
  <c r="BJ346" i="22"/>
  <c r="BK346" i="22"/>
  <c r="BL346" i="22"/>
  <c r="BM346" i="22"/>
  <c r="BN346" i="22"/>
  <c r="BO346" i="22"/>
  <c r="BP346" i="22"/>
  <c r="BQ346" i="22"/>
  <c r="BR346" i="22"/>
  <c r="BS346" i="22"/>
  <c r="BT346" i="22"/>
  <c r="BU346" i="22"/>
  <c r="BV346" i="22"/>
  <c r="BW346" i="22"/>
  <c r="BX346" i="22"/>
  <c r="BY346" i="22"/>
  <c r="BZ346" i="22"/>
  <c r="CA346" i="22"/>
  <c r="CB346" i="22"/>
  <c r="A347" i="22"/>
  <c r="B347" i="22"/>
  <c r="C347" i="22"/>
  <c r="D347" i="22"/>
  <c r="E347" i="22"/>
  <c r="F347" i="22"/>
  <c r="G347" i="22"/>
  <c r="H347" i="22"/>
  <c r="I347" i="22"/>
  <c r="J347" i="22"/>
  <c r="K347" i="22"/>
  <c r="L347" i="22"/>
  <c r="M347" i="22"/>
  <c r="N347" i="22"/>
  <c r="O347" i="22"/>
  <c r="P347" i="22"/>
  <c r="Q347" i="22"/>
  <c r="R347" i="22"/>
  <c r="S347" i="22"/>
  <c r="T347" i="22"/>
  <c r="U347" i="22"/>
  <c r="V347" i="22"/>
  <c r="W347" i="22"/>
  <c r="X347" i="22"/>
  <c r="Y347" i="22"/>
  <c r="Z347" i="22"/>
  <c r="AA347" i="22"/>
  <c r="AB347" i="22"/>
  <c r="AC347" i="22"/>
  <c r="AD347" i="22"/>
  <c r="AE347" i="22"/>
  <c r="AF347" i="22"/>
  <c r="AG347" i="22"/>
  <c r="AH347" i="22"/>
  <c r="AI347" i="22"/>
  <c r="AJ347" i="22"/>
  <c r="AK347" i="22"/>
  <c r="AL347" i="22"/>
  <c r="AM347" i="22"/>
  <c r="AN347" i="22"/>
  <c r="AO347" i="22"/>
  <c r="AP347" i="22"/>
  <c r="AQ347" i="22"/>
  <c r="AR347" i="22"/>
  <c r="AS347" i="22"/>
  <c r="AT347" i="22"/>
  <c r="AU347" i="22"/>
  <c r="AV347" i="22"/>
  <c r="AW347" i="22"/>
  <c r="AX347" i="22"/>
  <c r="AY347" i="22"/>
  <c r="AZ347" i="22"/>
  <c r="BA347" i="22"/>
  <c r="BB347" i="22"/>
  <c r="BC347" i="22"/>
  <c r="BD347" i="22"/>
  <c r="BE347" i="22"/>
  <c r="BF347" i="22"/>
  <c r="BG347" i="22"/>
  <c r="BH347" i="22"/>
  <c r="BI347" i="22"/>
  <c r="BJ347" i="22"/>
  <c r="BK347" i="22"/>
  <c r="BL347" i="22"/>
  <c r="BM347" i="22"/>
  <c r="BN347" i="22"/>
  <c r="BO347" i="22"/>
  <c r="BP347" i="22"/>
  <c r="BQ347" i="22"/>
  <c r="BR347" i="22"/>
  <c r="BS347" i="22"/>
  <c r="BT347" i="22"/>
  <c r="BU347" i="22"/>
  <c r="BV347" i="22"/>
  <c r="BW347" i="22"/>
  <c r="BX347" i="22"/>
  <c r="BY347" i="22"/>
  <c r="BZ347" i="22"/>
  <c r="CA347" i="22"/>
  <c r="CB347" i="22"/>
  <c r="A348" i="22"/>
  <c r="B348" i="22"/>
  <c r="C348" i="22"/>
  <c r="D348" i="22"/>
  <c r="E348" i="22"/>
  <c r="F348" i="22"/>
  <c r="G348" i="22"/>
  <c r="H348" i="22"/>
  <c r="I348" i="22"/>
  <c r="J348" i="22"/>
  <c r="K348" i="22"/>
  <c r="L348" i="22"/>
  <c r="M348" i="22"/>
  <c r="N348" i="22"/>
  <c r="O348" i="22"/>
  <c r="P348" i="22"/>
  <c r="Q348" i="22"/>
  <c r="R348" i="22"/>
  <c r="S348" i="22"/>
  <c r="T348" i="22"/>
  <c r="U348" i="22"/>
  <c r="V348" i="22"/>
  <c r="W348" i="22"/>
  <c r="X348" i="22"/>
  <c r="Y348" i="22"/>
  <c r="Z348" i="22"/>
  <c r="AA348" i="22"/>
  <c r="AB348" i="22"/>
  <c r="AC348" i="22"/>
  <c r="AD348" i="22"/>
  <c r="AE348" i="22"/>
  <c r="AF348" i="22"/>
  <c r="AG348" i="22"/>
  <c r="AH348" i="22"/>
  <c r="AI348" i="22"/>
  <c r="AJ348" i="22"/>
  <c r="AK348" i="22"/>
  <c r="AL348" i="22"/>
  <c r="AM348" i="22"/>
  <c r="AN348" i="22"/>
  <c r="AO348" i="22"/>
  <c r="AP348" i="22"/>
  <c r="AQ348" i="22"/>
  <c r="AR348" i="22"/>
  <c r="AS348" i="22"/>
  <c r="AT348" i="22"/>
  <c r="AU348" i="22"/>
  <c r="AV348" i="22"/>
  <c r="AW348" i="22"/>
  <c r="AX348" i="22"/>
  <c r="AY348" i="22"/>
  <c r="AZ348" i="22"/>
  <c r="BA348" i="22"/>
  <c r="BB348" i="22"/>
  <c r="BC348" i="22"/>
  <c r="BD348" i="22"/>
  <c r="BE348" i="22"/>
  <c r="BF348" i="22"/>
  <c r="BG348" i="22"/>
  <c r="BH348" i="22"/>
  <c r="BI348" i="22"/>
  <c r="BJ348" i="22"/>
  <c r="BK348" i="22"/>
  <c r="BL348" i="22"/>
  <c r="BM348" i="22"/>
  <c r="BN348" i="22"/>
  <c r="BO348" i="22"/>
  <c r="BP348" i="22"/>
  <c r="BQ348" i="22"/>
  <c r="BR348" i="22"/>
  <c r="BS348" i="22"/>
  <c r="BT348" i="22"/>
  <c r="BU348" i="22"/>
  <c r="BV348" i="22"/>
  <c r="BW348" i="22"/>
  <c r="BX348" i="22"/>
  <c r="BY348" i="22"/>
  <c r="BZ348" i="22"/>
  <c r="CA348" i="22"/>
  <c r="CB348" i="22"/>
  <c r="A349" i="22"/>
  <c r="B349" i="22"/>
  <c r="C349" i="22"/>
  <c r="D349" i="22"/>
  <c r="E349" i="22"/>
  <c r="F349" i="22"/>
  <c r="G349" i="22"/>
  <c r="H349" i="22"/>
  <c r="I349" i="22"/>
  <c r="J349" i="22"/>
  <c r="K349" i="22"/>
  <c r="L349" i="22"/>
  <c r="M349" i="22"/>
  <c r="N349" i="22"/>
  <c r="O349" i="22"/>
  <c r="P349" i="22"/>
  <c r="Q349" i="22"/>
  <c r="R349" i="22"/>
  <c r="S349" i="22"/>
  <c r="T349" i="22"/>
  <c r="U349" i="22"/>
  <c r="V349" i="22"/>
  <c r="W349" i="22"/>
  <c r="X349" i="22"/>
  <c r="Y349" i="22"/>
  <c r="Z349" i="22"/>
  <c r="AA349" i="22"/>
  <c r="AB349" i="22"/>
  <c r="AC349" i="22"/>
  <c r="AD349" i="22"/>
  <c r="AE349" i="22"/>
  <c r="AF349" i="22"/>
  <c r="AG349" i="22"/>
  <c r="AH349" i="22"/>
  <c r="AI349" i="22"/>
  <c r="AJ349" i="22"/>
  <c r="AK349" i="22"/>
  <c r="AL349" i="22"/>
  <c r="AM349" i="22"/>
  <c r="AN349" i="22"/>
  <c r="AO349" i="22"/>
  <c r="AP349" i="22"/>
  <c r="AQ349" i="22"/>
  <c r="AR349" i="22"/>
  <c r="AS349" i="22"/>
  <c r="AT349" i="22"/>
  <c r="AU349" i="22"/>
  <c r="AV349" i="22"/>
  <c r="AW349" i="22"/>
  <c r="AX349" i="22"/>
  <c r="AY349" i="22"/>
  <c r="AZ349" i="22"/>
  <c r="BA349" i="22"/>
  <c r="BB349" i="22"/>
  <c r="BC349" i="22"/>
  <c r="BD349" i="22"/>
  <c r="BE349" i="22"/>
  <c r="BF349" i="22"/>
  <c r="BG349" i="22"/>
  <c r="BH349" i="22"/>
  <c r="BI349" i="22"/>
  <c r="BJ349" i="22"/>
  <c r="BK349" i="22"/>
  <c r="BL349" i="22"/>
  <c r="BM349" i="22"/>
  <c r="BN349" i="22"/>
  <c r="BO349" i="22"/>
  <c r="BP349" i="22"/>
  <c r="BQ349" i="22"/>
  <c r="BR349" i="22"/>
  <c r="BS349" i="22"/>
  <c r="BT349" i="22"/>
  <c r="BU349" i="22"/>
  <c r="BV349" i="22"/>
  <c r="BW349" i="22"/>
  <c r="BX349" i="22"/>
  <c r="BY349" i="22"/>
  <c r="BZ349" i="22"/>
  <c r="CA349" i="22"/>
  <c r="CB349" i="22"/>
  <c r="A350" i="22"/>
  <c r="B350" i="22"/>
  <c r="C350" i="22"/>
  <c r="D350" i="22"/>
  <c r="E350" i="22"/>
  <c r="F350" i="22"/>
  <c r="G350" i="22"/>
  <c r="H350" i="22"/>
  <c r="I350" i="22"/>
  <c r="J350" i="22"/>
  <c r="K350" i="22"/>
  <c r="L350" i="22"/>
  <c r="M350" i="22"/>
  <c r="N350" i="22"/>
  <c r="O350" i="22"/>
  <c r="P350" i="22"/>
  <c r="Q350" i="22"/>
  <c r="R350" i="22"/>
  <c r="S350" i="22"/>
  <c r="T350" i="22"/>
  <c r="U350" i="22"/>
  <c r="V350" i="22"/>
  <c r="W350" i="22"/>
  <c r="X350" i="22"/>
  <c r="Y350" i="22"/>
  <c r="Z350" i="22"/>
  <c r="AA350" i="22"/>
  <c r="AB350" i="22"/>
  <c r="AC350" i="22"/>
  <c r="AD350" i="22"/>
  <c r="AE350" i="22"/>
  <c r="AF350" i="22"/>
  <c r="AG350" i="22"/>
  <c r="AH350" i="22"/>
  <c r="AI350" i="22"/>
  <c r="AJ350" i="22"/>
  <c r="AK350" i="22"/>
  <c r="AL350" i="22"/>
  <c r="AM350" i="22"/>
  <c r="AN350" i="22"/>
  <c r="AO350" i="22"/>
  <c r="AP350" i="22"/>
  <c r="AQ350" i="22"/>
  <c r="AR350" i="22"/>
  <c r="AS350" i="22"/>
  <c r="AT350" i="22"/>
  <c r="AU350" i="22"/>
  <c r="AV350" i="22"/>
  <c r="AW350" i="22"/>
  <c r="AX350" i="22"/>
  <c r="AY350" i="22"/>
  <c r="AZ350" i="22"/>
  <c r="BA350" i="22"/>
  <c r="BB350" i="22"/>
  <c r="BC350" i="22"/>
  <c r="BD350" i="22"/>
  <c r="BE350" i="22"/>
  <c r="BF350" i="22"/>
  <c r="BG350" i="22"/>
  <c r="BH350" i="22"/>
  <c r="BI350" i="22"/>
  <c r="BJ350" i="22"/>
  <c r="BK350" i="22"/>
  <c r="BL350" i="22"/>
  <c r="BM350" i="22"/>
  <c r="BN350" i="22"/>
  <c r="BO350" i="22"/>
  <c r="BP350" i="22"/>
  <c r="BQ350" i="22"/>
  <c r="BR350" i="22"/>
  <c r="BS350" i="22"/>
  <c r="BT350" i="22"/>
  <c r="BU350" i="22"/>
  <c r="BV350" i="22"/>
  <c r="BW350" i="22"/>
  <c r="BX350" i="22"/>
  <c r="BY350" i="22"/>
  <c r="BZ350" i="22"/>
  <c r="CA350" i="22"/>
  <c r="CB350" i="22"/>
  <c r="A351" i="22"/>
  <c r="B351" i="22"/>
  <c r="C351" i="22"/>
  <c r="D351" i="22"/>
  <c r="E351" i="22"/>
  <c r="F351" i="22"/>
  <c r="G351" i="22"/>
  <c r="H351" i="22"/>
  <c r="I351" i="22"/>
  <c r="J351" i="22"/>
  <c r="K351" i="22"/>
  <c r="L351" i="22"/>
  <c r="M351" i="22"/>
  <c r="N351" i="22"/>
  <c r="O351" i="22"/>
  <c r="P351" i="22"/>
  <c r="Q351" i="22"/>
  <c r="R351" i="22"/>
  <c r="S351" i="22"/>
  <c r="T351" i="22"/>
  <c r="U351" i="22"/>
  <c r="V351" i="22"/>
  <c r="W351" i="22"/>
  <c r="X351" i="22"/>
  <c r="Y351" i="22"/>
  <c r="Z351" i="22"/>
  <c r="AA351" i="22"/>
  <c r="AB351" i="22"/>
  <c r="AC351" i="22"/>
  <c r="AD351" i="22"/>
  <c r="AE351" i="22"/>
  <c r="AF351" i="22"/>
  <c r="AG351" i="22"/>
  <c r="AH351" i="22"/>
  <c r="AI351" i="22"/>
  <c r="AJ351" i="22"/>
  <c r="AK351" i="22"/>
  <c r="AL351" i="22"/>
  <c r="AM351" i="22"/>
  <c r="AN351" i="22"/>
  <c r="AO351" i="22"/>
  <c r="AP351" i="22"/>
  <c r="AQ351" i="22"/>
  <c r="AR351" i="22"/>
  <c r="AS351" i="22"/>
  <c r="AT351" i="22"/>
  <c r="AU351" i="22"/>
  <c r="AV351" i="22"/>
  <c r="AW351" i="22"/>
  <c r="AX351" i="22"/>
  <c r="AY351" i="22"/>
  <c r="AZ351" i="22"/>
  <c r="BA351" i="22"/>
  <c r="BB351" i="22"/>
  <c r="BC351" i="22"/>
  <c r="BD351" i="22"/>
  <c r="BE351" i="22"/>
  <c r="BF351" i="22"/>
  <c r="BG351" i="22"/>
  <c r="BH351" i="22"/>
  <c r="BI351" i="22"/>
  <c r="BJ351" i="22"/>
  <c r="BK351" i="22"/>
  <c r="BL351" i="22"/>
  <c r="BM351" i="22"/>
  <c r="BN351" i="22"/>
  <c r="BO351" i="22"/>
  <c r="BP351" i="22"/>
  <c r="BQ351" i="22"/>
  <c r="BR351" i="22"/>
  <c r="BS351" i="22"/>
  <c r="BT351" i="22"/>
  <c r="BU351" i="22"/>
  <c r="BV351" i="22"/>
  <c r="BW351" i="22"/>
  <c r="BX351" i="22"/>
  <c r="BY351" i="22"/>
  <c r="BZ351" i="22"/>
  <c r="CA351" i="22"/>
  <c r="CB351" i="22"/>
  <c r="A352" i="22"/>
  <c r="B352" i="22"/>
  <c r="C352" i="22"/>
  <c r="D352" i="22"/>
  <c r="E352" i="22"/>
  <c r="F352" i="22"/>
  <c r="G352" i="22"/>
  <c r="H352" i="22"/>
  <c r="I352" i="22"/>
  <c r="J352" i="22"/>
  <c r="K352" i="22"/>
  <c r="L352" i="22"/>
  <c r="M352" i="22"/>
  <c r="N352" i="22"/>
  <c r="O352" i="22"/>
  <c r="P352" i="22"/>
  <c r="Q352" i="22"/>
  <c r="R352" i="22"/>
  <c r="S352" i="22"/>
  <c r="T352" i="22"/>
  <c r="U352" i="22"/>
  <c r="V352" i="22"/>
  <c r="W352" i="22"/>
  <c r="X352" i="22"/>
  <c r="Y352" i="22"/>
  <c r="J358" i="22"/>
  <c r="K358" i="22"/>
  <c r="L358" i="22"/>
  <c r="M358" i="22"/>
  <c r="N358" i="22"/>
  <c r="O358" i="22"/>
  <c r="P358" i="22"/>
  <c r="S358" i="22"/>
  <c r="T358" i="22"/>
  <c r="U358" i="22"/>
  <c r="X358" i="22"/>
  <c r="AB358" i="22"/>
  <c r="AD358" i="22"/>
  <c r="AE358" i="22"/>
  <c r="AH358" i="22"/>
  <c r="AJ358" i="22"/>
  <c r="AL358" i="22"/>
  <c r="AM358" i="22"/>
  <c r="AN358" i="22"/>
  <c r="AP358" i="22"/>
  <c r="AQ358" i="22"/>
  <c r="AT358" i="22"/>
  <c r="AX358" i="22"/>
  <c r="BB358" i="22"/>
  <c r="BE358" i="22"/>
  <c r="BH358" i="22"/>
  <c r="BI358" i="22"/>
  <c r="BL358" i="22"/>
  <c r="BM358" i="22"/>
  <c r="BN358" i="22"/>
  <c r="BO358" i="22"/>
  <c r="BZ358" i="22"/>
  <c r="CA358" i="22"/>
  <c r="A359" i="22"/>
  <c r="B359" i="22"/>
  <c r="C359" i="22"/>
  <c r="D359" i="22"/>
  <c r="I359" i="22"/>
  <c r="L359" i="22"/>
  <c r="N359" i="22"/>
  <c r="Q359" i="22"/>
  <c r="R359" i="22"/>
  <c r="S359" i="22"/>
  <c r="V359" i="22"/>
  <c r="Y359" i="22"/>
  <c r="Z359" i="22"/>
  <c r="AA359" i="22"/>
  <c r="AB359" i="22"/>
  <c r="AC359" i="22"/>
  <c r="AD359" i="22"/>
  <c r="AE359" i="22"/>
  <c r="AH359" i="22"/>
  <c r="AL359" i="22"/>
  <c r="AP359" i="22"/>
  <c r="AQ359" i="22"/>
  <c r="AR359" i="22"/>
  <c r="AT359" i="22"/>
  <c r="AV359" i="22"/>
  <c r="AX359" i="22"/>
  <c r="BA359" i="22"/>
  <c r="BB359" i="22"/>
  <c r="BM359" i="22"/>
  <c r="BN359" i="22"/>
  <c r="BW359" i="22"/>
  <c r="BY359" i="22"/>
  <c r="CA359" i="22"/>
  <c r="CB359" i="22"/>
  <c r="A360" i="22"/>
  <c r="B360" i="22"/>
  <c r="C360" i="22"/>
  <c r="D360" i="22"/>
  <c r="E360" i="22"/>
  <c r="F360" i="22"/>
  <c r="G360" i="22"/>
  <c r="N360" i="22"/>
  <c r="Q360" i="22"/>
  <c r="S360" i="22"/>
  <c r="T360" i="22"/>
  <c r="U360" i="22"/>
  <c r="V360" i="22"/>
  <c r="W360" i="22"/>
  <c r="Z360" i="22"/>
  <c r="AA360" i="22"/>
  <c r="AB360" i="22"/>
  <c r="AC360" i="22"/>
  <c r="AD360" i="22"/>
  <c r="AE360" i="22"/>
  <c r="AI360" i="22"/>
  <c r="AJ360" i="22"/>
  <c r="AK360" i="22"/>
  <c r="AN360" i="22"/>
  <c r="AP360" i="22"/>
  <c r="AQ360" i="22"/>
  <c r="AR360" i="22"/>
  <c r="AW360" i="22"/>
  <c r="AX360" i="22"/>
  <c r="BA360" i="22"/>
  <c r="BF360" i="22"/>
  <c r="BG360" i="22"/>
  <c r="BI360" i="22"/>
  <c r="BK360" i="22"/>
  <c r="BM360" i="22"/>
  <c r="BN360" i="22"/>
  <c r="BO360" i="22"/>
  <c r="BT360" i="22"/>
  <c r="BU360" i="22"/>
  <c r="BW360" i="22"/>
  <c r="CA360" i="22"/>
  <c r="CB360" i="22"/>
  <c r="A361" i="22"/>
  <c r="E361" i="22"/>
  <c r="F361" i="22"/>
  <c r="G361" i="22"/>
  <c r="I361" i="22"/>
  <c r="K361" i="22"/>
  <c r="L361" i="22"/>
  <c r="M361" i="22"/>
  <c r="N361" i="22"/>
  <c r="O361" i="22"/>
  <c r="Q361" i="22"/>
  <c r="W361" i="22"/>
  <c r="AA361" i="22"/>
  <c r="AB361" i="22"/>
  <c r="AG361" i="22"/>
  <c r="AI361" i="22"/>
  <c r="AK361" i="22"/>
  <c r="AM361" i="22"/>
  <c r="AO361" i="22"/>
  <c r="AP361" i="22"/>
  <c r="AS361" i="22"/>
  <c r="AT361" i="22"/>
  <c r="AU361" i="22"/>
  <c r="AY361" i="22"/>
  <c r="AZ361" i="22"/>
  <c r="BA361" i="22"/>
  <c r="BE361" i="22"/>
  <c r="BH361" i="22"/>
  <c r="BJ361" i="22"/>
  <c r="BQ361" i="22"/>
  <c r="BS361" i="22"/>
  <c r="BW361" i="22"/>
  <c r="BX361" i="22"/>
  <c r="BY361" i="22"/>
  <c r="BZ361" i="22"/>
  <c r="CA361" i="22"/>
  <c r="D362" i="22"/>
  <c r="F362" i="22"/>
  <c r="G362" i="22"/>
  <c r="BD364" i="22"/>
  <c r="BE364" i="22"/>
  <c r="BF364" i="22"/>
  <c r="BG364" i="22"/>
  <c r="BH364" i="22"/>
  <c r="BL364" i="22"/>
  <c r="BM364" i="22"/>
  <c r="BN364" i="22"/>
  <c r="BT364" i="22"/>
  <c r="BW364" i="22"/>
  <c r="BX364" i="22"/>
  <c r="BY364" i="22"/>
  <c r="BZ364" i="22"/>
  <c r="B365" i="22"/>
  <c r="C365" i="22"/>
  <c r="E365" i="22"/>
  <c r="G365" i="22"/>
  <c r="H365" i="22"/>
  <c r="M365" i="22"/>
  <c r="O365" i="22"/>
  <c r="P365" i="22"/>
  <c r="R365" i="22"/>
  <c r="S365" i="22"/>
  <c r="T365" i="22"/>
  <c r="U365" i="22"/>
  <c r="V365" i="22"/>
  <c r="W365" i="22"/>
  <c r="AD365" i="22"/>
  <c r="AE365" i="22"/>
  <c r="AF365" i="22"/>
  <c r="AG365" i="22"/>
  <c r="AJ365" i="22"/>
  <c r="AK365" i="22"/>
  <c r="AL365" i="22"/>
  <c r="AT365" i="22"/>
  <c r="AV365" i="22"/>
  <c r="AX365" i="22"/>
  <c r="BB365" i="22"/>
  <c r="BD365" i="22"/>
  <c r="BI365" i="22"/>
  <c r="BJ365" i="22"/>
  <c r="BL365" i="22"/>
  <c r="BQ365" i="22"/>
  <c r="BS365" i="22"/>
  <c r="BT365" i="22"/>
  <c r="BY365" i="22"/>
  <c r="BZ365" i="22"/>
  <c r="CA365" i="22"/>
  <c r="CB365" i="22"/>
  <c r="A366" i="22"/>
  <c r="D366" i="22"/>
  <c r="G366" i="22"/>
  <c r="H366" i="22"/>
  <c r="P366" i="22"/>
  <c r="Q366" i="22"/>
  <c r="T366" i="22"/>
  <c r="AD366" i="22"/>
  <c r="AE366" i="22"/>
  <c r="AH366" i="22"/>
  <c r="AN366" i="22"/>
  <c r="AP366" i="22"/>
  <c r="AR366" i="22"/>
  <c r="AS366" i="22"/>
  <c r="AU366" i="22"/>
  <c r="AW366" i="22"/>
  <c r="AY366" i="22"/>
  <c r="AZ366" i="22"/>
  <c r="BB366" i="22"/>
  <c r="BF366" i="22"/>
  <c r="BG366" i="22"/>
  <c r="BH366" i="22"/>
  <c r="BJ366" i="22"/>
  <c r="BK366" i="22"/>
  <c r="BL366" i="22"/>
  <c r="BM366" i="22"/>
  <c r="BN366" i="22"/>
  <c r="BO366" i="22"/>
  <c r="BP366" i="22"/>
  <c r="BV366" i="22"/>
  <c r="BW366" i="22"/>
  <c r="BY366" i="22"/>
  <c r="CA366" i="22"/>
  <c r="CB366" i="22"/>
  <c r="A367" i="22"/>
  <c r="B367" i="22"/>
  <c r="C367" i="22"/>
  <c r="E367" i="22"/>
  <c r="F367" i="22"/>
  <c r="I367" i="22"/>
  <c r="L367" i="22"/>
  <c r="N367" i="22"/>
  <c r="O367" i="22"/>
  <c r="V367" i="22"/>
  <c r="AD367" i="22"/>
  <c r="AG367" i="22"/>
  <c r="AH367" i="22"/>
  <c r="AI367" i="22"/>
  <c r="AJ367" i="22"/>
  <c r="AO367" i="22"/>
  <c r="AQ367" i="22"/>
  <c r="AU367" i="22"/>
  <c r="AW367" i="22"/>
  <c r="AX367" i="22"/>
  <c r="AY367" i="22"/>
  <c r="BE367" i="22"/>
  <c r="BF367" i="22"/>
  <c r="BH367" i="22"/>
  <c r="BJ367" i="22"/>
  <c r="BM367" i="22"/>
  <c r="BN367" i="22"/>
  <c r="BO367" i="22"/>
  <c r="BP367" i="22"/>
  <c r="BQ367" i="22"/>
  <c r="BR367" i="22"/>
  <c r="BS367" i="22"/>
  <c r="BU367" i="22"/>
  <c r="BW367" i="22"/>
  <c r="BZ367" i="22"/>
  <c r="CA367" i="22"/>
  <c r="CB367" i="22"/>
  <c r="A368" i="22"/>
  <c r="C368" i="22"/>
  <c r="E368" i="22"/>
  <c r="F368" i="22"/>
  <c r="G368" i="22"/>
  <c r="H368" i="22"/>
  <c r="I368" i="22"/>
  <c r="L368" i="22"/>
  <c r="N368" i="22"/>
  <c r="Q368" i="22"/>
  <c r="R368" i="22"/>
  <c r="S368" i="22"/>
  <c r="V368" i="22"/>
  <c r="W368" i="22"/>
  <c r="X368" i="22"/>
  <c r="Y368" i="22"/>
  <c r="AB368" i="22"/>
  <c r="AD368" i="22"/>
  <c r="AE368" i="22"/>
  <c r="AG368" i="22"/>
  <c r="AJ368" i="22"/>
  <c r="AK368" i="22"/>
  <c r="AL368" i="22"/>
  <c r="AN368" i="22"/>
  <c r="AP368" i="22"/>
  <c r="AQ368" i="22"/>
  <c r="AR368" i="22"/>
  <c r="AW368" i="22"/>
  <c r="AX368" i="22"/>
  <c r="BD368" i="22"/>
  <c r="BF368" i="22"/>
  <c r="BG368" i="22"/>
  <c r="BL368" i="22"/>
  <c r="BS368" i="22"/>
  <c r="BT368" i="22"/>
  <c r="BU368" i="22"/>
  <c r="BV368" i="22"/>
  <c r="BX368" i="22"/>
  <c r="BY368" i="22"/>
  <c r="BZ368" i="22"/>
  <c r="CB368" i="22"/>
  <c r="A369" i="22"/>
  <c r="B369" i="22"/>
  <c r="F369" i="22"/>
  <c r="G369" i="22"/>
  <c r="H369" i="22"/>
  <c r="J369" i="22"/>
  <c r="O369" i="22"/>
  <c r="P369" i="22"/>
  <c r="Q369" i="22"/>
  <c r="U369" i="22"/>
  <c r="V369" i="22"/>
  <c r="X369" i="22"/>
  <c r="AC369" i="22"/>
  <c r="AF369" i="22"/>
  <c r="AG369" i="22"/>
  <c r="AH369" i="22"/>
  <c r="AK369" i="22"/>
  <c r="AN369" i="22"/>
  <c r="AP369" i="22"/>
  <c r="AQ369" i="22"/>
  <c r="AX369" i="22"/>
  <c r="BA369" i="22"/>
  <c r="BC369" i="22"/>
  <c r="BD369" i="22"/>
  <c r="BG369" i="22"/>
  <c r="BH369" i="22"/>
  <c r="BI369" i="22"/>
  <c r="BK369" i="22"/>
  <c r="BL369" i="22"/>
  <c r="BQ369" i="22"/>
  <c r="BU369" i="22"/>
  <c r="BX369" i="22"/>
  <c r="CB369" i="22"/>
  <c r="B370" i="22"/>
  <c r="D370" i="22"/>
  <c r="H370" i="22"/>
  <c r="J370" i="22"/>
  <c r="K370" i="22"/>
  <c r="L370" i="22"/>
  <c r="M370" i="22"/>
  <c r="N370" i="22"/>
  <c r="P370" i="22"/>
  <c r="Q370" i="22"/>
  <c r="R370" i="22"/>
  <c r="S370" i="22"/>
  <c r="U370" i="22"/>
  <c r="W370" i="22"/>
  <c r="X370" i="22"/>
  <c r="Z370" i="22"/>
  <c r="AA370" i="22"/>
  <c r="AB370" i="22"/>
  <c r="AI370" i="22"/>
  <c r="AJ370" i="22"/>
  <c r="AL370" i="22"/>
  <c r="AN370" i="22"/>
  <c r="AO370" i="22"/>
  <c r="AP370" i="22"/>
  <c r="AQ370" i="22"/>
  <c r="AR370" i="22"/>
  <c r="AS370" i="22"/>
  <c r="AT370" i="22"/>
  <c r="AU370" i="22"/>
  <c r="AV370" i="22"/>
  <c r="AW370" i="22"/>
  <c r="AY370" i="22"/>
  <c r="AZ370" i="22"/>
  <c r="BA370" i="22"/>
  <c r="BC370" i="22"/>
  <c r="BD370" i="22"/>
  <c r="BH370" i="22"/>
  <c r="BJ370" i="22"/>
  <c r="BN370" i="22"/>
  <c r="BP370" i="22"/>
  <c r="BQ370" i="22"/>
  <c r="BR370" i="22"/>
  <c r="BS370" i="22"/>
  <c r="BU370" i="22"/>
  <c r="BV370" i="22"/>
  <c r="BX370" i="22"/>
  <c r="BZ370" i="22"/>
  <c r="C371" i="22"/>
  <c r="D371" i="22"/>
  <c r="E371" i="22"/>
  <c r="F371" i="22"/>
  <c r="G371" i="22"/>
  <c r="M371" i="22"/>
  <c r="P371" i="22"/>
  <c r="Q371" i="22"/>
  <c r="R371" i="22"/>
  <c r="S371" i="22"/>
  <c r="AA371" i="22"/>
  <c r="AC371" i="22"/>
  <c r="AF371" i="22"/>
  <c r="AG371" i="22"/>
  <c r="AH371" i="22"/>
  <c r="AJ371" i="22"/>
  <c r="AM371" i="22"/>
  <c r="AO371" i="22"/>
  <c r="AP371" i="22"/>
  <c r="AQ371" i="22"/>
  <c r="AR371" i="22"/>
  <c r="AS371" i="22"/>
  <c r="AU371" i="22"/>
  <c r="BD371" i="22"/>
  <c r="BE371" i="22"/>
  <c r="BF371" i="22"/>
  <c r="BI371" i="22"/>
  <c r="BJ371" i="22"/>
  <c r="BM371" i="22"/>
  <c r="CA371" i="22"/>
  <c r="A372" i="22"/>
  <c r="B372" i="22"/>
  <c r="D372" i="22"/>
  <c r="G372" i="22"/>
  <c r="H372" i="22"/>
  <c r="I372" i="22"/>
  <c r="J372" i="22"/>
  <c r="K372" i="22"/>
  <c r="M372" i="22"/>
  <c r="P372" i="22"/>
  <c r="S372" i="22"/>
  <c r="T372" i="22"/>
  <c r="U372" i="22"/>
  <c r="X372" i="22"/>
  <c r="Z372" i="22"/>
  <c r="AA372" i="22"/>
  <c r="AC372" i="22"/>
  <c r="AF372" i="22"/>
  <c r="AG372" i="22"/>
  <c r="AH372" i="22"/>
  <c r="AI372" i="22"/>
  <c r="AJ372" i="22"/>
  <c r="AL372" i="22"/>
  <c r="AT372" i="22"/>
  <c r="AU372" i="22"/>
  <c r="BD372" i="22"/>
  <c r="BE372" i="22"/>
  <c r="BF372" i="22"/>
  <c r="BG372" i="22"/>
  <c r="BI372" i="22"/>
  <c r="BJ372" i="22"/>
  <c r="BK372" i="22"/>
  <c r="BL372" i="22"/>
  <c r="BM372" i="22"/>
  <c r="BN372" i="22"/>
  <c r="BO372" i="22"/>
  <c r="BP372" i="22"/>
  <c r="BS372" i="22"/>
  <c r="BU372" i="22"/>
  <c r="BV372" i="22"/>
  <c r="CA372" i="22"/>
  <c r="CB372" i="22"/>
  <c r="B373" i="22"/>
  <c r="C373" i="22"/>
  <c r="D373" i="22"/>
  <c r="E373" i="22"/>
  <c r="F373" i="22"/>
  <c r="G373" i="22"/>
  <c r="H373" i="22"/>
  <c r="J373" i="22"/>
  <c r="K373" i="22"/>
  <c r="L373" i="22"/>
  <c r="O373" i="22"/>
  <c r="P373" i="22"/>
  <c r="T373" i="22"/>
  <c r="U373" i="22"/>
  <c r="X373" i="22"/>
  <c r="Y373" i="22"/>
  <c r="AA373" i="22"/>
  <c r="AB373" i="22"/>
  <c r="AE373" i="22"/>
  <c r="AF373" i="22"/>
  <c r="AH373" i="22"/>
  <c r="AK373" i="22"/>
  <c r="AL373" i="22"/>
  <c r="AO373" i="22"/>
  <c r="AP373" i="22"/>
  <c r="AQ373" i="22"/>
  <c r="AR373" i="22"/>
  <c r="AS373" i="22"/>
  <c r="AZ373" i="22"/>
  <c r="BA373" i="22"/>
  <c r="BC373" i="22"/>
  <c r="BE373" i="22"/>
  <c r="BF373" i="22"/>
  <c r="BH373" i="22"/>
  <c r="BI373" i="22"/>
  <c r="BL373" i="22"/>
  <c r="BM373" i="22"/>
  <c r="BQ373" i="22"/>
  <c r="BT373" i="22"/>
  <c r="BU373" i="22"/>
  <c r="BV373" i="22"/>
  <c r="BX373" i="22"/>
  <c r="CA373" i="22"/>
  <c r="CB373" i="22"/>
  <c r="A374" i="22"/>
  <c r="B374" i="22"/>
  <c r="C374" i="22"/>
  <c r="E374" i="22"/>
  <c r="G374" i="22"/>
  <c r="K374" i="22"/>
  <c r="L374" i="22"/>
  <c r="M374" i="22"/>
  <c r="N374" i="22"/>
  <c r="P374" i="22"/>
  <c r="R374" i="22"/>
  <c r="S374" i="22"/>
  <c r="U374" i="22"/>
  <c r="W374" i="22"/>
  <c r="Y374" i="22"/>
  <c r="AB374" i="22"/>
  <c r="AC374" i="22"/>
  <c r="AI374" i="22"/>
  <c r="AJ374" i="22"/>
  <c r="AK374" i="22"/>
  <c r="AL374" i="22"/>
  <c r="AN374" i="22"/>
  <c r="AP374" i="22"/>
  <c r="AR374" i="22"/>
  <c r="AS374" i="22"/>
  <c r="AT374" i="22"/>
  <c r="AZ374" i="22"/>
  <c r="BA374" i="22"/>
  <c r="BB374" i="22"/>
  <c r="BD374" i="22"/>
  <c r="BE374" i="22"/>
  <c r="BF374" i="22"/>
  <c r="BG374" i="22"/>
  <c r="BH374" i="22"/>
  <c r="BJ374" i="22"/>
  <c r="BL374" i="22"/>
  <c r="BN374" i="22"/>
  <c r="BP374" i="22"/>
  <c r="BR374" i="22"/>
  <c r="G375" i="22"/>
  <c r="H375" i="22"/>
  <c r="J375" i="22"/>
  <c r="L375" i="22"/>
  <c r="N375" i="22"/>
  <c r="Q375" i="22"/>
  <c r="R375" i="22"/>
  <c r="S375" i="22"/>
  <c r="T375" i="22"/>
  <c r="U375" i="22"/>
  <c r="Y375" i="22"/>
  <c r="AA375" i="22"/>
  <c r="AD375" i="22"/>
  <c r="AF375" i="22"/>
  <c r="AH375" i="22"/>
  <c r="AI375" i="22"/>
  <c r="AJ375" i="22"/>
  <c r="AK375" i="22"/>
  <c r="AL375" i="22"/>
  <c r="AM375" i="22"/>
  <c r="AN375" i="22"/>
  <c r="AQ375" i="22"/>
  <c r="AR375" i="22"/>
  <c r="AS375" i="22"/>
  <c r="AT375" i="22"/>
  <c r="AU375" i="22"/>
  <c r="BA375" i="22"/>
  <c r="BC375" i="22"/>
  <c r="BF375" i="22"/>
  <c r="BH375" i="22"/>
  <c r="BR375" i="22"/>
  <c r="BS375" i="22"/>
  <c r="BU375" i="22"/>
  <c r="BW375" i="22"/>
  <c r="BZ375" i="22"/>
  <c r="A376" i="22"/>
  <c r="B376" i="22"/>
  <c r="C376" i="22"/>
  <c r="E376" i="22"/>
  <c r="F376" i="22"/>
  <c r="G376" i="22"/>
  <c r="H376" i="22"/>
  <c r="J376" i="22"/>
  <c r="W376" i="22"/>
  <c r="X376" i="22"/>
  <c r="AE376" i="22"/>
  <c r="AH376" i="22"/>
  <c r="AJ376" i="22"/>
  <c r="AK376" i="22"/>
  <c r="AL376" i="22"/>
  <c r="AM376" i="22"/>
  <c r="AN376" i="22"/>
  <c r="AO376" i="22"/>
  <c r="AP376" i="22"/>
  <c r="AT376" i="22"/>
  <c r="AU376" i="22"/>
  <c r="AZ376" i="22"/>
  <c r="BB376" i="22"/>
  <c r="BC376" i="22"/>
  <c r="BD376" i="22"/>
  <c r="BE376" i="22"/>
  <c r="BJ376" i="22"/>
  <c r="BL376" i="22"/>
  <c r="BM376" i="22"/>
  <c r="BO376" i="22"/>
  <c r="BS376" i="22"/>
  <c r="BT376" i="22"/>
  <c r="BU376" i="22"/>
  <c r="BW376" i="22"/>
  <c r="BY376" i="22"/>
  <c r="BZ376" i="22"/>
  <c r="CB376" i="22"/>
  <c r="C377" i="22"/>
  <c r="D377" i="22"/>
  <c r="F377" i="22"/>
  <c r="G377" i="22"/>
  <c r="H377" i="22"/>
  <c r="I377" i="22"/>
  <c r="J377" i="22"/>
  <c r="K377" i="22"/>
  <c r="L377" i="22"/>
  <c r="M377" i="22"/>
  <c r="N377" i="22"/>
  <c r="O377" i="22"/>
  <c r="R377" i="22"/>
  <c r="S377" i="22"/>
  <c r="T377" i="22"/>
  <c r="U377" i="22"/>
  <c r="V377" i="22"/>
  <c r="W377" i="22"/>
  <c r="X377" i="22"/>
  <c r="Y377" i="22"/>
  <c r="Z377" i="22"/>
  <c r="AB377" i="22"/>
  <c r="AC377" i="22"/>
  <c r="AD377" i="22"/>
  <c r="AE377" i="22"/>
  <c r="AF377" i="22"/>
  <c r="AG377" i="22"/>
  <c r="AH377" i="22"/>
  <c r="AI377" i="22"/>
  <c r="AJ377" i="22"/>
  <c r="AK377" i="22"/>
  <c r="AL377" i="22"/>
  <c r="AM377" i="22"/>
  <c r="AN377" i="22"/>
  <c r="AO377" i="22"/>
  <c r="AP377" i="22"/>
  <c r="AQ377" i="22"/>
  <c r="AR377" i="22"/>
  <c r="AS377" i="22"/>
  <c r="AT377" i="22"/>
  <c r="AU377" i="22"/>
  <c r="AV377" i="22"/>
  <c r="AW377" i="22"/>
  <c r="AX377" i="22"/>
  <c r="AY377" i="22"/>
  <c r="AZ377" i="22"/>
  <c r="BA377" i="22"/>
  <c r="BB377" i="22"/>
  <c r="BC377" i="22"/>
  <c r="BD377" i="22"/>
  <c r="BE377" i="22"/>
  <c r="BF377" i="22"/>
  <c r="BG377" i="22"/>
  <c r="BH377" i="22"/>
  <c r="BI377" i="22"/>
  <c r="BJ377" i="22"/>
  <c r="BK377" i="22"/>
  <c r="BL377" i="22"/>
  <c r="BM377" i="22"/>
  <c r="BN377" i="22"/>
  <c r="BO377" i="22"/>
  <c r="BP377" i="22"/>
  <c r="BQ377" i="22"/>
  <c r="BR377" i="22"/>
  <c r="BS377" i="22"/>
  <c r="BT377" i="22"/>
  <c r="BU377" i="22"/>
  <c r="BV377" i="22"/>
  <c r="BW377" i="22"/>
  <c r="BX377" i="22"/>
  <c r="BY377" i="22"/>
  <c r="BZ377" i="22"/>
  <c r="CA377" i="22"/>
  <c r="CB377" i="22"/>
  <c r="A378" i="22"/>
  <c r="B378" i="22"/>
  <c r="C378" i="22"/>
  <c r="D378" i="22"/>
  <c r="E378" i="22"/>
  <c r="F378" i="22"/>
  <c r="G378" i="22"/>
  <c r="H378" i="22"/>
  <c r="I378" i="22"/>
  <c r="J378" i="22"/>
  <c r="K378" i="22"/>
  <c r="L378" i="22"/>
  <c r="M378" i="22"/>
  <c r="N378" i="22"/>
  <c r="O378" i="22"/>
  <c r="P378" i="22"/>
  <c r="Q378" i="22"/>
  <c r="R378" i="22"/>
  <c r="S378" i="22"/>
  <c r="T378" i="22"/>
  <c r="U378" i="22"/>
  <c r="V378" i="22"/>
  <c r="W378" i="22"/>
  <c r="X378" i="22"/>
  <c r="Y378" i="22"/>
  <c r="Z378" i="22"/>
  <c r="AA378" i="22"/>
  <c r="AB378" i="22"/>
  <c r="AC378" i="22"/>
  <c r="AD378" i="22"/>
  <c r="AE378" i="22"/>
  <c r="AF378" i="22"/>
  <c r="AG378" i="22"/>
  <c r="AH378" i="22"/>
  <c r="AI378" i="22"/>
  <c r="AJ378" i="22"/>
  <c r="AK378" i="22"/>
  <c r="AL378" i="22"/>
  <c r="AM378" i="22"/>
  <c r="AN378" i="22"/>
  <c r="AO378" i="22"/>
  <c r="AP378" i="22"/>
  <c r="AQ378" i="22"/>
  <c r="AR378" i="22"/>
  <c r="AS378" i="22"/>
  <c r="AT378" i="22"/>
  <c r="AU378" i="22"/>
  <c r="AV378" i="22"/>
  <c r="AW378" i="22"/>
  <c r="AX378" i="22"/>
  <c r="AY378" i="22"/>
  <c r="AZ378" i="22"/>
  <c r="BA378" i="22"/>
  <c r="BB378" i="22"/>
  <c r="BC378" i="22"/>
  <c r="BD378" i="22"/>
  <c r="BE378" i="22"/>
  <c r="BF378" i="22"/>
  <c r="BG378" i="22"/>
  <c r="BH378" i="22"/>
  <c r="BI378" i="22"/>
  <c r="BJ378" i="22"/>
  <c r="BK378" i="22"/>
  <c r="BL378" i="22"/>
  <c r="BM378" i="22"/>
  <c r="BN378" i="22"/>
  <c r="BO378" i="22"/>
  <c r="BP378" i="22"/>
  <c r="BQ378" i="22"/>
  <c r="BR378" i="22"/>
  <c r="BS378" i="22"/>
  <c r="BT378" i="22"/>
  <c r="BU378" i="22"/>
  <c r="BV378" i="22"/>
  <c r="BW378" i="22"/>
  <c r="BX378" i="22"/>
  <c r="BY378" i="22"/>
  <c r="BZ378" i="22"/>
  <c r="CA378" i="22"/>
  <c r="CB378" i="22"/>
  <c r="A379" i="22"/>
  <c r="B379" i="22"/>
  <c r="C379" i="22"/>
  <c r="D379" i="22"/>
  <c r="E379" i="22"/>
  <c r="F379" i="22"/>
  <c r="G379" i="22"/>
  <c r="H379" i="22"/>
  <c r="I379" i="22"/>
  <c r="J379" i="22"/>
  <c r="K379" i="22"/>
  <c r="L379" i="22"/>
  <c r="M379" i="22"/>
  <c r="N379" i="22"/>
  <c r="O379" i="22"/>
  <c r="P379" i="22"/>
  <c r="Q379" i="22"/>
  <c r="R379" i="22"/>
  <c r="S379" i="22"/>
  <c r="T379" i="22"/>
  <c r="U379" i="22"/>
  <c r="V379" i="22"/>
  <c r="W379" i="22"/>
  <c r="X379" i="22"/>
  <c r="Y379" i="22"/>
  <c r="Z379" i="22"/>
  <c r="AA379" i="22"/>
  <c r="AB379" i="22"/>
  <c r="AC379" i="22"/>
  <c r="AD379" i="22"/>
  <c r="AE379" i="22"/>
  <c r="AF379" i="22"/>
  <c r="AG379" i="22"/>
  <c r="AH379" i="22"/>
  <c r="AI379" i="22"/>
  <c r="AJ379" i="22"/>
  <c r="AK379" i="22"/>
  <c r="AL379" i="22"/>
  <c r="AM379" i="22"/>
  <c r="AN379" i="22"/>
  <c r="AO379" i="22"/>
  <c r="AP379" i="22"/>
  <c r="AQ379" i="22"/>
  <c r="AR379" i="22"/>
  <c r="AS379" i="22"/>
  <c r="AT379" i="22"/>
  <c r="AU379" i="22"/>
  <c r="AV379" i="22"/>
  <c r="AW379" i="22"/>
  <c r="AX379" i="22"/>
  <c r="AY379" i="22"/>
  <c r="AZ379" i="22"/>
  <c r="BA379" i="22"/>
  <c r="BB379" i="22"/>
  <c r="BC379" i="22"/>
  <c r="BD379" i="22"/>
  <c r="BE379" i="22"/>
  <c r="BF379" i="22"/>
  <c r="BG379" i="22"/>
  <c r="BH379" i="22"/>
  <c r="BI379" i="22"/>
  <c r="BO396" i="22"/>
  <c r="BP396" i="22"/>
  <c r="BQ396" i="22"/>
  <c r="BR396" i="22"/>
  <c r="BS396" i="22"/>
  <c r="BT396" i="22"/>
  <c r="BU396" i="22"/>
  <c r="BV396" i="22"/>
  <c r="BW396" i="22"/>
  <c r="BX396" i="22"/>
  <c r="BY396" i="22"/>
  <c r="BZ396" i="22"/>
  <c r="CA396" i="22"/>
  <c r="CB396" i="22"/>
  <c r="A397" i="22"/>
  <c r="B397" i="22"/>
  <c r="C397" i="22"/>
  <c r="D397" i="22"/>
  <c r="E397" i="22"/>
  <c r="F397" i="22"/>
  <c r="G397" i="22"/>
  <c r="H397" i="22"/>
  <c r="I397" i="22"/>
  <c r="J397" i="22"/>
  <c r="K397" i="22"/>
  <c r="L397" i="22"/>
  <c r="M397" i="22"/>
  <c r="N397" i="22"/>
  <c r="O397" i="22"/>
  <c r="P397" i="22"/>
  <c r="Q397" i="22"/>
  <c r="R397" i="22"/>
  <c r="S397" i="22"/>
  <c r="T397" i="22"/>
  <c r="U397" i="22"/>
  <c r="V397" i="22"/>
  <c r="W397" i="22"/>
  <c r="X397" i="22"/>
  <c r="Y397" i="22"/>
  <c r="Z397" i="22"/>
  <c r="AA397" i="22"/>
  <c r="AB397" i="22"/>
  <c r="AC397" i="22"/>
  <c r="AD397" i="22"/>
  <c r="AE397" i="22"/>
  <c r="AF397" i="22"/>
  <c r="AG397" i="22"/>
  <c r="AH397" i="22"/>
  <c r="AI397" i="22"/>
  <c r="AJ397" i="22"/>
  <c r="AK397" i="22"/>
  <c r="AL397" i="22"/>
  <c r="AM397" i="22"/>
  <c r="AN397" i="22"/>
  <c r="AO397" i="22"/>
  <c r="AP397" i="22"/>
  <c r="AQ397" i="22"/>
  <c r="AR397" i="22"/>
  <c r="AS397" i="22"/>
  <c r="AT397" i="22"/>
  <c r="AU397" i="22"/>
  <c r="AV397" i="22"/>
  <c r="AW397" i="22"/>
  <c r="AX397" i="22"/>
  <c r="AY397" i="22"/>
  <c r="AZ397" i="22"/>
  <c r="BA397" i="22"/>
  <c r="BB397" i="22"/>
  <c r="BC397" i="22"/>
  <c r="BD397" i="22"/>
  <c r="BE397" i="22"/>
  <c r="BF397" i="22"/>
  <c r="BG397" i="22"/>
  <c r="BH397" i="22"/>
  <c r="BI397" i="22"/>
  <c r="BJ397" i="22"/>
  <c r="BK397" i="22"/>
  <c r="BL397" i="22"/>
  <c r="BM397" i="22"/>
  <c r="BN397" i="22"/>
  <c r="BO397" i="22"/>
  <c r="BP397" i="22"/>
  <c r="BQ397" i="22"/>
  <c r="BR397" i="22"/>
  <c r="BS397" i="22"/>
  <c r="BT397" i="22"/>
  <c r="BU397" i="22"/>
  <c r="BV397" i="22"/>
  <c r="BW397" i="22"/>
  <c r="BX397" i="22"/>
  <c r="BY397" i="22"/>
  <c r="BZ397" i="22"/>
  <c r="CA397" i="22"/>
  <c r="CB397" i="22"/>
  <c r="A398" i="22"/>
  <c r="B398" i="22"/>
  <c r="C398" i="22"/>
  <c r="D398" i="22"/>
  <c r="E398" i="22"/>
  <c r="F398" i="22"/>
  <c r="G398" i="22"/>
  <c r="H398" i="22"/>
  <c r="I398" i="22"/>
  <c r="J398" i="22"/>
  <c r="K398" i="22"/>
  <c r="L398" i="22"/>
  <c r="M398" i="22"/>
  <c r="N398" i="22"/>
  <c r="O398" i="22"/>
  <c r="P398" i="22"/>
  <c r="Q398" i="22"/>
  <c r="R398" i="22"/>
  <c r="S398" i="22"/>
  <c r="T398" i="22"/>
  <c r="U398" i="22"/>
  <c r="V398" i="22"/>
  <c r="W398" i="22"/>
  <c r="X398" i="22"/>
  <c r="Y398" i="22"/>
  <c r="Z398" i="22"/>
  <c r="AA398" i="22"/>
  <c r="AB398" i="22"/>
  <c r="AC398" i="22"/>
  <c r="AD398" i="22"/>
  <c r="AE398" i="22"/>
  <c r="AF398" i="22"/>
  <c r="AG398" i="22"/>
  <c r="AH398" i="22"/>
  <c r="AI398" i="22"/>
  <c r="AJ398" i="22"/>
  <c r="AK398" i="22"/>
  <c r="AL398" i="22"/>
  <c r="AM398" i="22"/>
  <c r="AN398" i="22"/>
  <c r="AO398" i="22"/>
  <c r="AP398" i="22"/>
  <c r="AQ398" i="22"/>
  <c r="AR398" i="22"/>
  <c r="AS398" i="22"/>
  <c r="AT398" i="22"/>
  <c r="AU398" i="22"/>
  <c r="AV398" i="22"/>
  <c r="AW398" i="22"/>
  <c r="AX398" i="22"/>
  <c r="AY398" i="22"/>
  <c r="AZ398" i="22"/>
  <c r="BA398" i="22"/>
  <c r="BB398" i="22"/>
  <c r="BC398" i="22"/>
  <c r="BD398" i="22"/>
  <c r="BE398" i="22"/>
  <c r="BF398" i="22"/>
  <c r="BG398" i="22"/>
  <c r="BH398" i="22"/>
  <c r="BI398" i="22"/>
  <c r="BJ398" i="22"/>
  <c r="BK398" i="22"/>
  <c r="BL398" i="22"/>
  <c r="BM398" i="22"/>
  <c r="BN398" i="22"/>
  <c r="BO398" i="22"/>
  <c r="BP398" i="22"/>
  <c r="BQ398" i="22"/>
  <c r="BR398" i="22"/>
  <c r="BS398" i="22"/>
  <c r="BT398" i="22"/>
  <c r="BU398" i="22"/>
  <c r="BV398" i="22"/>
  <c r="BW398" i="22"/>
  <c r="BX398" i="22"/>
  <c r="BY398" i="22"/>
  <c r="BZ398" i="22"/>
  <c r="CA398" i="22"/>
  <c r="CB398" i="22"/>
  <c r="A399" i="22"/>
  <c r="B399" i="22"/>
  <c r="C399" i="22"/>
  <c r="D399" i="22"/>
  <c r="E399" i="22"/>
  <c r="F399" i="22"/>
  <c r="G399" i="22"/>
  <c r="H399" i="22"/>
  <c r="I399" i="22"/>
  <c r="J399" i="22"/>
  <c r="K399" i="22"/>
  <c r="L399" i="22"/>
  <c r="M399" i="22"/>
  <c r="N399" i="22"/>
  <c r="O399" i="22"/>
  <c r="P399" i="22"/>
  <c r="Q399" i="22"/>
  <c r="R399" i="22"/>
  <c r="S399" i="22"/>
  <c r="T399" i="22"/>
  <c r="U399" i="22"/>
  <c r="V399" i="22"/>
  <c r="W399" i="22"/>
  <c r="X399" i="22"/>
  <c r="Y399" i="22"/>
  <c r="Z399" i="22"/>
  <c r="AA399" i="22"/>
  <c r="AB399" i="22"/>
  <c r="AC399" i="22"/>
  <c r="AD399" i="22"/>
  <c r="AE399" i="22"/>
  <c r="AF399" i="22"/>
  <c r="AG399" i="22"/>
  <c r="AH399" i="22"/>
  <c r="AI399" i="22"/>
  <c r="AJ399" i="22"/>
  <c r="AK399" i="22"/>
  <c r="AL399" i="22"/>
  <c r="AM399" i="22"/>
  <c r="AN399" i="22"/>
  <c r="AO399" i="22"/>
  <c r="AP399" i="22"/>
  <c r="AQ399" i="22"/>
  <c r="AR399" i="22"/>
  <c r="AS399" i="22"/>
  <c r="AT399" i="22"/>
  <c r="AU399" i="22"/>
  <c r="AV399" i="22"/>
  <c r="AW399" i="22"/>
  <c r="AX399" i="22"/>
  <c r="AY399" i="22"/>
  <c r="AZ399" i="22"/>
  <c r="BA399" i="22"/>
  <c r="BB399" i="22"/>
  <c r="BC399" i="22"/>
  <c r="BD399" i="22"/>
  <c r="BE399" i="22"/>
  <c r="BF399" i="22"/>
  <c r="BG399" i="22"/>
  <c r="BH399" i="22"/>
  <c r="BI399" i="22"/>
  <c r="BJ399" i="22"/>
  <c r="BK399" i="22"/>
  <c r="BL399" i="22"/>
  <c r="BM399" i="22"/>
  <c r="BN399" i="22"/>
  <c r="BO399" i="22"/>
  <c r="BP399" i="22"/>
  <c r="BQ399" i="22"/>
  <c r="BR399" i="22"/>
  <c r="BS399" i="22"/>
  <c r="BT399" i="22"/>
  <c r="BU399" i="22"/>
  <c r="BV399" i="22"/>
  <c r="BW399" i="22"/>
  <c r="BX399" i="22"/>
  <c r="BY399" i="22"/>
  <c r="BZ399" i="22"/>
  <c r="CA399" i="22"/>
  <c r="CB399" i="22"/>
  <c r="A400" i="22"/>
  <c r="B400" i="22"/>
  <c r="C400" i="22"/>
  <c r="D400" i="22"/>
  <c r="E400" i="22"/>
  <c r="F400" i="22"/>
  <c r="G400" i="22"/>
  <c r="H400" i="22"/>
  <c r="I400" i="22"/>
  <c r="J400" i="22"/>
  <c r="K400" i="22"/>
  <c r="L400" i="22"/>
  <c r="M400" i="22"/>
  <c r="N400" i="22"/>
  <c r="O400" i="22"/>
  <c r="P400" i="22"/>
  <c r="Q400" i="22"/>
  <c r="R400" i="22"/>
  <c r="S400" i="22"/>
  <c r="T400" i="22"/>
  <c r="U400" i="22"/>
  <c r="V400" i="22"/>
  <c r="W400" i="22"/>
  <c r="X400" i="22"/>
  <c r="Y400" i="22"/>
  <c r="Z400" i="22"/>
  <c r="AA400" i="22"/>
  <c r="AB400" i="22"/>
  <c r="AC400" i="22"/>
  <c r="AD400" i="22"/>
  <c r="AE400" i="22"/>
  <c r="AF400" i="22"/>
  <c r="AG400" i="22"/>
  <c r="AH400" i="22"/>
  <c r="AI400" i="22"/>
  <c r="AJ400" i="22"/>
  <c r="AK400" i="22"/>
  <c r="AL400" i="22"/>
  <c r="AM400" i="22"/>
  <c r="AN400" i="22"/>
  <c r="AO400" i="22"/>
  <c r="AP400" i="22"/>
  <c r="AQ400" i="22"/>
  <c r="AR400" i="22"/>
  <c r="AS400" i="22"/>
  <c r="AT400" i="22"/>
  <c r="AU400" i="22"/>
  <c r="AV400" i="22"/>
  <c r="AW400" i="22"/>
  <c r="AX400" i="22"/>
  <c r="AY400" i="22"/>
  <c r="AZ400" i="22"/>
  <c r="BA400" i="22"/>
  <c r="BB400" i="22"/>
  <c r="BC400" i="22"/>
  <c r="BD400" i="22"/>
  <c r="BE400" i="22"/>
  <c r="BF400" i="22"/>
  <c r="BG400" i="22"/>
  <c r="BH400" i="22"/>
  <c r="BI400" i="22"/>
  <c r="BJ400" i="22"/>
  <c r="BK400" i="22"/>
  <c r="BL400" i="22"/>
  <c r="BM400" i="22"/>
  <c r="BN400" i="22"/>
  <c r="BO400" i="22"/>
  <c r="BP400" i="22"/>
  <c r="BQ400" i="22"/>
  <c r="BR400" i="22"/>
  <c r="BS400" i="22"/>
  <c r="BT400" i="22"/>
  <c r="BU400" i="22"/>
  <c r="BV400" i="22"/>
  <c r="BW400" i="22"/>
  <c r="BX400" i="22"/>
  <c r="BY400" i="22"/>
  <c r="BZ400" i="22"/>
  <c r="CA400" i="22"/>
  <c r="CB400" i="22"/>
  <c r="A401" i="22"/>
  <c r="B401" i="22"/>
  <c r="C401" i="22"/>
  <c r="D401" i="22"/>
  <c r="E401" i="22"/>
  <c r="F401" i="22"/>
  <c r="G401" i="22"/>
  <c r="H401" i="22"/>
  <c r="I401" i="22"/>
  <c r="J401" i="22"/>
  <c r="K401" i="22"/>
  <c r="L401" i="22"/>
  <c r="M401" i="22"/>
  <c r="N401" i="22"/>
  <c r="O401" i="22"/>
  <c r="P401" i="22"/>
  <c r="Q401" i="22"/>
  <c r="R401" i="22"/>
  <c r="S401" i="22"/>
  <c r="T401" i="22"/>
  <c r="U401" i="22"/>
  <c r="V401" i="22"/>
  <c r="W401" i="22"/>
  <c r="X401" i="22"/>
  <c r="Y401" i="22"/>
  <c r="Z401" i="22"/>
  <c r="AA401" i="22"/>
  <c r="AB401" i="22"/>
  <c r="AC401" i="22"/>
  <c r="AD401" i="22"/>
  <c r="AE401" i="22"/>
  <c r="AF401" i="22"/>
  <c r="AG401" i="22"/>
  <c r="AH401" i="22"/>
  <c r="AI401" i="22"/>
  <c r="AJ401" i="22"/>
  <c r="AK401" i="22"/>
  <c r="AL401" i="22"/>
  <c r="AM401" i="22"/>
  <c r="AN401" i="22"/>
  <c r="AO401" i="22"/>
  <c r="AP401" i="22"/>
  <c r="AQ401" i="22"/>
  <c r="AR401" i="22"/>
  <c r="AS401" i="22"/>
  <c r="AT401" i="22"/>
  <c r="AU401" i="22"/>
  <c r="AV401" i="22"/>
  <c r="AW401" i="22"/>
  <c r="AX401" i="22"/>
  <c r="AY401" i="22"/>
  <c r="AZ401" i="22"/>
  <c r="BA401" i="22"/>
  <c r="BB401" i="22"/>
  <c r="BC401" i="22"/>
  <c r="BD401" i="22"/>
  <c r="BE401" i="22"/>
  <c r="BF401" i="22"/>
  <c r="BG401" i="22"/>
  <c r="BH401" i="22"/>
  <c r="BI401" i="22"/>
  <c r="BJ401" i="22"/>
  <c r="BK401" i="22"/>
  <c r="BL401" i="22"/>
  <c r="BM401" i="22"/>
  <c r="BN401" i="22"/>
  <c r="BO401" i="22"/>
  <c r="BP401" i="22"/>
  <c r="BQ401" i="22"/>
  <c r="BR401" i="22"/>
  <c r="BS401" i="22"/>
  <c r="BT401" i="22"/>
  <c r="BU401" i="22"/>
  <c r="BV401" i="22"/>
  <c r="BW401" i="22"/>
  <c r="BX401" i="22"/>
  <c r="BY401" i="22"/>
  <c r="BZ401" i="22"/>
  <c r="CA401" i="22"/>
  <c r="CB401" i="22"/>
  <c r="A402" i="22"/>
  <c r="B402" i="22"/>
  <c r="C402" i="22"/>
  <c r="D402" i="22"/>
  <c r="E402" i="22"/>
  <c r="F402" i="22"/>
  <c r="G402" i="22"/>
  <c r="H402" i="22"/>
  <c r="I402" i="22"/>
  <c r="J402" i="22"/>
  <c r="K402" i="22"/>
  <c r="L402" i="22"/>
  <c r="M402" i="22"/>
  <c r="N402" i="22"/>
  <c r="O402" i="22"/>
  <c r="P402" i="22"/>
  <c r="Q402" i="22"/>
  <c r="R402" i="22"/>
  <c r="S402" i="22"/>
  <c r="T402" i="22"/>
  <c r="U402" i="22"/>
  <c r="V402" i="22"/>
  <c r="W402" i="22"/>
  <c r="X402" i="22"/>
  <c r="Y402" i="22"/>
  <c r="Z402" i="22"/>
  <c r="AA402" i="22"/>
  <c r="AB402" i="22"/>
  <c r="AC402" i="22"/>
  <c r="AD402" i="22"/>
  <c r="AE402" i="22"/>
  <c r="AF402" i="22"/>
  <c r="AG402" i="22"/>
  <c r="AH402" i="22"/>
  <c r="AI402" i="22"/>
  <c r="AJ402" i="22"/>
  <c r="AK402" i="22"/>
  <c r="AL402" i="22"/>
  <c r="AM402" i="22"/>
  <c r="AN402" i="22"/>
  <c r="AO402" i="22"/>
  <c r="AP402" i="22"/>
  <c r="AQ402" i="22"/>
  <c r="AR402" i="22"/>
  <c r="AS402" i="22"/>
  <c r="AT402" i="22"/>
  <c r="AU402" i="22"/>
  <c r="AV402" i="22"/>
  <c r="AW402" i="22"/>
  <c r="AX402" i="22"/>
  <c r="AY402" i="22"/>
  <c r="AZ402" i="22"/>
  <c r="BA402" i="22"/>
  <c r="BB402" i="22"/>
  <c r="BC402" i="22"/>
  <c r="BD402" i="22"/>
  <c r="BE402" i="22"/>
  <c r="BF402" i="22"/>
  <c r="BG402" i="22"/>
  <c r="BH402" i="22"/>
  <c r="BI402" i="22"/>
  <c r="BJ402" i="22"/>
  <c r="BK402" i="22"/>
  <c r="BL402" i="22"/>
  <c r="BM402" i="22"/>
  <c r="BN402" i="22"/>
  <c r="BO402" i="22"/>
  <c r="BP402" i="22"/>
  <c r="BQ402" i="22"/>
  <c r="BR402" i="22"/>
  <c r="BS402" i="22"/>
  <c r="BT402" i="22"/>
  <c r="BU402" i="22"/>
  <c r="BV402" i="22"/>
  <c r="BW402" i="22"/>
  <c r="BX402" i="22"/>
  <c r="BY402" i="22"/>
  <c r="BZ402" i="22"/>
  <c r="CA402" i="22"/>
  <c r="CB402" i="22"/>
  <c r="A403" i="22"/>
  <c r="B403" i="22"/>
  <c r="C403" i="22"/>
  <c r="D403" i="22"/>
  <c r="E403" i="22"/>
  <c r="F403" i="22"/>
  <c r="G403" i="22"/>
  <c r="H403" i="22"/>
  <c r="I403" i="22"/>
  <c r="J403" i="22"/>
  <c r="K403" i="22"/>
  <c r="L403" i="22"/>
  <c r="M403" i="22"/>
  <c r="N403" i="22"/>
  <c r="O403" i="22"/>
  <c r="P403" i="22"/>
  <c r="Q403" i="22"/>
  <c r="R403" i="22"/>
  <c r="S403" i="22"/>
  <c r="T403" i="22"/>
  <c r="U403" i="22"/>
  <c r="V403" i="22"/>
  <c r="W403" i="22"/>
  <c r="X403" i="22"/>
  <c r="Y403" i="22"/>
  <c r="Z403" i="22"/>
  <c r="AA403" i="22"/>
  <c r="AB403" i="22"/>
  <c r="AC403" i="22"/>
  <c r="AD403" i="22"/>
  <c r="AE403" i="22"/>
  <c r="AF403" i="22"/>
  <c r="AG403" i="22"/>
  <c r="AH403" i="22"/>
  <c r="AI403" i="22"/>
  <c r="AJ403" i="22"/>
  <c r="AK403" i="22"/>
  <c r="AL403" i="22"/>
  <c r="AM403" i="22"/>
  <c r="AN403" i="22"/>
  <c r="AO403" i="22"/>
  <c r="AP403" i="22"/>
  <c r="AQ403" i="22"/>
  <c r="AR403" i="22"/>
  <c r="AS403" i="22"/>
  <c r="AT403" i="22"/>
  <c r="AU403" i="22"/>
  <c r="AV403" i="22"/>
  <c r="AW403" i="22"/>
  <c r="AX403" i="22"/>
  <c r="AY403" i="22"/>
  <c r="AZ403" i="22"/>
  <c r="BA403" i="22"/>
  <c r="BB403" i="22"/>
  <c r="BC403" i="22"/>
  <c r="BD403" i="22"/>
  <c r="BE403" i="22"/>
  <c r="BF403" i="22"/>
  <c r="BG403" i="22"/>
  <c r="BH403" i="22"/>
  <c r="BI403" i="22"/>
  <c r="BJ403" i="22"/>
  <c r="BK403" i="22"/>
  <c r="BL403" i="22"/>
  <c r="BM403" i="22"/>
  <c r="BN403" i="22"/>
  <c r="BO403" i="22"/>
  <c r="BP403" i="22"/>
  <c r="BQ403" i="22"/>
  <c r="BR403" i="22"/>
  <c r="BS403" i="22"/>
  <c r="BT403" i="22"/>
  <c r="BU403" i="22"/>
  <c r="BV403" i="22"/>
  <c r="BW403" i="22"/>
  <c r="BX403" i="22"/>
  <c r="BY403" i="22"/>
  <c r="BZ403" i="22"/>
  <c r="CA403" i="22"/>
  <c r="CB403" i="22"/>
  <c r="A404" i="22"/>
  <c r="B404" i="22"/>
  <c r="C404" i="22"/>
  <c r="D404" i="22"/>
  <c r="E404" i="22"/>
  <c r="F404" i="22"/>
  <c r="G404" i="22"/>
  <c r="H404" i="22"/>
  <c r="I404" i="22"/>
  <c r="J404" i="22"/>
  <c r="K404" i="22"/>
  <c r="L404" i="22"/>
  <c r="M404" i="22"/>
  <c r="N404" i="22"/>
  <c r="O404" i="22"/>
  <c r="P404" i="22"/>
  <c r="Q404" i="22"/>
  <c r="R404" i="22"/>
  <c r="S404" i="22"/>
  <c r="T404" i="22"/>
  <c r="U404" i="22"/>
  <c r="V404" i="22"/>
  <c r="W404" i="22"/>
  <c r="X404" i="22"/>
  <c r="Y404" i="22"/>
  <c r="Z404" i="22"/>
  <c r="AA404" i="22"/>
  <c r="AB404" i="22"/>
  <c r="AC404" i="22"/>
  <c r="AD404" i="22"/>
  <c r="AE404" i="22"/>
  <c r="AF404" i="22"/>
  <c r="AG404" i="22"/>
  <c r="AH404" i="22"/>
  <c r="AI404" i="22"/>
  <c r="AJ404" i="22"/>
  <c r="AK404" i="22"/>
  <c r="AL404" i="22"/>
  <c r="AM404" i="22"/>
  <c r="AN404" i="22"/>
  <c r="AO404" i="22"/>
  <c r="AP404" i="22"/>
  <c r="AQ404" i="22"/>
  <c r="AR404" i="22"/>
  <c r="AS404" i="22"/>
  <c r="AT404" i="22"/>
  <c r="AU404" i="22"/>
  <c r="AV404" i="22"/>
  <c r="AW404" i="22"/>
  <c r="AX404" i="22"/>
  <c r="AY404" i="22"/>
  <c r="AZ404" i="22"/>
  <c r="BA404" i="22"/>
  <c r="BB404" i="22"/>
  <c r="BC404" i="22"/>
  <c r="BD404" i="22"/>
  <c r="BE404" i="22"/>
  <c r="BF404" i="22"/>
  <c r="BG404" i="22"/>
  <c r="BH404" i="22"/>
  <c r="BI404" i="22"/>
  <c r="BJ404" i="22"/>
  <c r="BK404" i="22"/>
  <c r="BL404" i="22"/>
  <c r="BM404" i="22"/>
  <c r="BN404" i="22"/>
  <c r="BO404" i="22"/>
  <c r="BP404" i="22"/>
  <c r="BQ404" i="22"/>
  <c r="BR404" i="22"/>
  <c r="BS404" i="22"/>
  <c r="BT404" i="22"/>
  <c r="BU404" i="22"/>
  <c r="BV404" i="22"/>
  <c r="BW404" i="22"/>
  <c r="BX404" i="22"/>
  <c r="BY404" i="22"/>
  <c r="BZ404" i="22"/>
  <c r="CA404" i="22"/>
  <c r="CB404" i="22"/>
  <c r="A405" i="22"/>
  <c r="B405" i="22"/>
  <c r="C405" i="22"/>
  <c r="D405" i="22"/>
  <c r="E405" i="22"/>
  <c r="F405" i="22"/>
  <c r="G405" i="22"/>
  <c r="H405" i="22"/>
  <c r="I405" i="22"/>
  <c r="J405" i="22"/>
  <c r="K405" i="22"/>
  <c r="L405" i="22"/>
  <c r="M405" i="22"/>
  <c r="N405" i="22"/>
  <c r="O405" i="22"/>
  <c r="P405" i="22"/>
  <c r="Q405" i="22"/>
  <c r="R405" i="22"/>
  <c r="S405" i="22"/>
  <c r="T405" i="22"/>
  <c r="U405" i="22"/>
  <c r="V405" i="22"/>
  <c r="W405" i="22"/>
  <c r="X405" i="22"/>
  <c r="Y405" i="22"/>
  <c r="Z405" i="22"/>
  <c r="AA405" i="22"/>
  <c r="AB405" i="22"/>
  <c r="AC405" i="22"/>
  <c r="AD405" i="22"/>
  <c r="AE405" i="22"/>
  <c r="AF405" i="22"/>
  <c r="AG405" i="22"/>
  <c r="AH405" i="22"/>
  <c r="AI405" i="22"/>
  <c r="AJ405" i="22"/>
  <c r="AK405" i="22"/>
  <c r="AL405" i="22"/>
  <c r="AM405" i="22"/>
  <c r="AN405" i="22"/>
  <c r="AO405" i="22"/>
  <c r="AP405" i="22"/>
  <c r="AQ405" i="22"/>
  <c r="AR405" i="22"/>
  <c r="AS405" i="22"/>
  <c r="AT405" i="22"/>
  <c r="AU405" i="22"/>
  <c r="AV405" i="22"/>
  <c r="AW405" i="22"/>
  <c r="AX405" i="22"/>
  <c r="AY405" i="22"/>
  <c r="AZ405" i="22"/>
  <c r="BA405" i="22"/>
  <c r="BB405" i="22"/>
  <c r="BC405" i="22"/>
  <c r="BD405" i="22"/>
  <c r="BE405" i="22"/>
  <c r="BF405" i="22"/>
  <c r="BG405" i="22"/>
  <c r="BH405" i="22"/>
  <c r="BI405" i="22"/>
  <c r="BJ405" i="22"/>
  <c r="BK405" i="22"/>
  <c r="BL405" i="22"/>
  <c r="BM405" i="22"/>
  <c r="BN405" i="22"/>
  <c r="BO405" i="22"/>
  <c r="BP405" i="22"/>
  <c r="BQ405" i="22"/>
  <c r="BR405" i="22"/>
  <c r="BS405" i="22"/>
  <c r="BT405" i="22"/>
  <c r="BU405" i="22"/>
  <c r="BV405" i="22"/>
  <c r="BW405" i="22"/>
  <c r="BX405" i="22"/>
  <c r="BY405" i="22"/>
  <c r="BZ405" i="22"/>
  <c r="CA405" i="22"/>
  <c r="CB405" i="22"/>
  <c r="A406" i="22"/>
  <c r="B406" i="22"/>
  <c r="C406" i="22"/>
  <c r="D406" i="22"/>
  <c r="E406" i="22"/>
  <c r="F406" i="22"/>
  <c r="G406" i="22"/>
  <c r="H406" i="22"/>
  <c r="I406" i="22"/>
  <c r="J406" i="22"/>
  <c r="K406" i="22"/>
  <c r="L406" i="22"/>
  <c r="M406" i="22"/>
  <c r="N406" i="22"/>
  <c r="O406" i="22"/>
  <c r="P406" i="22"/>
  <c r="Q406" i="22"/>
  <c r="R406" i="22"/>
  <c r="S406" i="22"/>
  <c r="T406" i="22"/>
  <c r="U406" i="22"/>
  <c r="V406" i="22"/>
  <c r="W406" i="22"/>
  <c r="X406" i="22"/>
  <c r="Y406" i="22"/>
  <c r="Z406" i="22"/>
  <c r="AA406" i="22"/>
  <c r="AB406" i="22"/>
  <c r="AC406" i="22"/>
  <c r="AD406" i="22"/>
  <c r="AE406" i="22"/>
  <c r="AF406" i="22"/>
  <c r="AG406" i="22"/>
  <c r="AH406" i="22"/>
  <c r="AI406" i="22"/>
  <c r="AJ406" i="22"/>
  <c r="AK406" i="22"/>
  <c r="AL406" i="22"/>
  <c r="AM406" i="22"/>
  <c r="AN406" i="22"/>
  <c r="AO406" i="22"/>
  <c r="AP406" i="22"/>
  <c r="AQ406" i="22"/>
  <c r="AR406" i="22"/>
  <c r="AS406" i="22"/>
  <c r="AT406" i="22"/>
  <c r="AU406" i="22"/>
  <c r="AV406" i="22"/>
  <c r="AW406" i="22"/>
  <c r="AX406" i="22"/>
  <c r="AY406" i="22"/>
  <c r="AZ406" i="22"/>
  <c r="BA406" i="22"/>
  <c r="BB406" i="22"/>
  <c r="BC406" i="22"/>
  <c r="BD406" i="22"/>
  <c r="BE406" i="22"/>
  <c r="BF406" i="22"/>
  <c r="BG406" i="22"/>
  <c r="BH406" i="22"/>
  <c r="BI406" i="22"/>
  <c r="BJ406" i="22"/>
  <c r="BK406" i="22"/>
  <c r="BL406" i="22"/>
  <c r="BM406" i="22"/>
  <c r="BN406" i="22"/>
  <c r="BO406" i="22"/>
  <c r="BP406" i="22"/>
  <c r="BQ406" i="22"/>
  <c r="BR406" i="22"/>
  <c r="BS406" i="22"/>
  <c r="BT406" i="22"/>
  <c r="BU406" i="22"/>
  <c r="BV406" i="22"/>
  <c r="BW406" i="22"/>
  <c r="BX406" i="22"/>
  <c r="BY406" i="22"/>
  <c r="BZ406" i="22"/>
  <c r="CA406" i="22"/>
  <c r="CB406" i="22"/>
  <c r="A407" i="22"/>
  <c r="B407" i="22"/>
  <c r="C407" i="22"/>
  <c r="D407" i="22"/>
  <c r="E407" i="22"/>
  <c r="F407" i="22"/>
  <c r="G407" i="22"/>
  <c r="H407" i="22"/>
  <c r="I407" i="22"/>
  <c r="J407" i="22"/>
  <c r="K407" i="22"/>
  <c r="L407" i="22"/>
  <c r="M407" i="22"/>
  <c r="N407" i="22"/>
  <c r="O407" i="22"/>
  <c r="P407" i="22"/>
  <c r="Q407" i="22"/>
  <c r="R407" i="22"/>
  <c r="S407" i="22"/>
  <c r="T407" i="22"/>
  <c r="U407" i="22"/>
  <c r="V407" i="22"/>
  <c r="W407" i="22"/>
  <c r="X407" i="22"/>
  <c r="Y407" i="22"/>
  <c r="Z407" i="22"/>
  <c r="AA407" i="22"/>
  <c r="AB407" i="22"/>
  <c r="AC407" i="22"/>
  <c r="AD407" i="22"/>
  <c r="AE407" i="22"/>
  <c r="AF407" i="22"/>
  <c r="AG407" i="22"/>
  <c r="AH407" i="22"/>
  <c r="AI407" i="22"/>
  <c r="AJ407" i="22"/>
  <c r="AK407" i="22"/>
  <c r="AL407" i="22"/>
  <c r="AM407" i="22"/>
  <c r="AN407" i="22"/>
  <c r="AO407" i="22"/>
  <c r="AP407" i="22"/>
  <c r="AQ407" i="22"/>
  <c r="AR407" i="22"/>
  <c r="AS407" i="22"/>
  <c r="AT407" i="22"/>
  <c r="AU407" i="22"/>
  <c r="AV407" i="22"/>
  <c r="AW407" i="22"/>
  <c r="AX407" i="22"/>
  <c r="AY407" i="22"/>
  <c r="AZ407" i="22"/>
  <c r="BA407" i="22"/>
  <c r="BB407" i="22"/>
  <c r="BC407" i="22"/>
  <c r="BD407" i="22"/>
  <c r="BE407" i="22"/>
  <c r="BF407" i="22"/>
  <c r="BG407" i="22"/>
  <c r="BH407" i="22"/>
  <c r="BI407" i="22"/>
  <c r="BJ407" i="22"/>
  <c r="BK407" i="22"/>
  <c r="BL407" i="22"/>
  <c r="BM407" i="22"/>
  <c r="BN407" i="22"/>
  <c r="BO407" i="22"/>
  <c r="BP407" i="22"/>
  <c r="BQ407" i="22"/>
  <c r="BR407" i="22"/>
  <c r="BS407" i="22"/>
  <c r="BT407" i="22"/>
  <c r="BU407" i="22"/>
  <c r="BV407" i="22"/>
  <c r="BW407" i="22"/>
  <c r="BX407" i="22"/>
  <c r="BY407" i="22"/>
  <c r="BZ407" i="22"/>
  <c r="CA407" i="22"/>
  <c r="CB407" i="22"/>
  <c r="A408" i="22"/>
  <c r="B408" i="22"/>
  <c r="C408" i="22"/>
  <c r="D408" i="22"/>
  <c r="E408" i="22"/>
  <c r="F408" i="22"/>
  <c r="G408" i="22"/>
  <c r="H408" i="22"/>
  <c r="I408" i="22"/>
  <c r="J408" i="22"/>
  <c r="K408" i="22"/>
  <c r="L408" i="22"/>
  <c r="M408" i="22"/>
  <c r="N408" i="22"/>
  <c r="O408" i="22"/>
  <c r="P408" i="22"/>
  <c r="Q408" i="22"/>
  <c r="R408" i="22"/>
  <c r="S408" i="22"/>
  <c r="T408" i="22"/>
  <c r="U408" i="22"/>
  <c r="V408" i="22"/>
  <c r="W408" i="22"/>
  <c r="X408" i="22"/>
  <c r="Y408" i="22"/>
  <c r="Z408" i="22"/>
  <c r="AA408" i="22"/>
  <c r="AB408" i="22"/>
  <c r="AC408" i="22"/>
  <c r="AD408" i="22"/>
  <c r="AE408" i="22"/>
  <c r="AF408" i="22"/>
  <c r="AG408" i="22"/>
  <c r="AH408" i="22"/>
  <c r="AI408" i="22"/>
  <c r="AJ408" i="22"/>
  <c r="AK408" i="22"/>
  <c r="AL408" i="22"/>
  <c r="AM408" i="22"/>
  <c r="AN408" i="22"/>
  <c r="AO408" i="22"/>
  <c r="AP408" i="22"/>
  <c r="AQ408" i="22"/>
  <c r="AR408" i="22"/>
  <c r="AS408" i="22"/>
  <c r="AT408" i="22"/>
  <c r="AU408" i="22"/>
  <c r="AV408" i="22"/>
  <c r="AW408" i="22"/>
  <c r="AX408" i="22"/>
  <c r="AY408" i="22"/>
  <c r="AZ408" i="22"/>
  <c r="BA408" i="22"/>
  <c r="BB408" i="22"/>
  <c r="BC408" i="22"/>
  <c r="BD408" i="22"/>
  <c r="BE408" i="22"/>
  <c r="BF408" i="22"/>
  <c r="BG408" i="22"/>
  <c r="BH408" i="22"/>
  <c r="BI408" i="22"/>
  <c r="BJ408" i="22"/>
  <c r="BK408" i="22"/>
  <c r="BL408" i="22"/>
  <c r="BM408" i="22"/>
  <c r="BN408" i="22"/>
  <c r="BO408" i="22"/>
  <c r="BP408" i="22"/>
  <c r="BQ408" i="22"/>
  <c r="BR408" i="22"/>
  <c r="BS408" i="22"/>
  <c r="BT408" i="22"/>
  <c r="BU408" i="22"/>
  <c r="BV408" i="22"/>
  <c r="BW408" i="22"/>
  <c r="BX408" i="22"/>
  <c r="BY408" i="22"/>
  <c r="BZ408" i="22"/>
  <c r="CA408" i="22"/>
  <c r="CB408" i="22"/>
  <c r="A409" i="22"/>
  <c r="B409" i="22"/>
  <c r="C409" i="22"/>
  <c r="D409" i="22"/>
  <c r="E409" i="22"/>
  <c r="F409" i="22"/>
  <c r="G409" i="22"/>
  <c r="H409" i="22"/>
  <c r="I409" i="22"/>
  <c r="J409" i="22"/>
  <c r="K409" i="22"/>
  <c r="L409" i="22"/>
  <c r="M409" i="22"/>
  <c r="N409" i="22"/>
  <c r="O409" i="22"/>
  <c r="P409" i="22"/>
  <c r="Q409" i="22"/>
  <c r="R409" i="22"/>
  <c r="S409" i="22"/>
  <c r="T409" i="22"/>
  <c r="U409" i="22"/>
  <c r="V409" i="22"/>
  <c r="W409" i="22"/>
  <c r="X409" i="22"/>
  <c r="Y409" i="22"/>
  <c r="Z409" i="22"/>
  <c r="AA409" i="22"/>
  <c r="AB409" i="22"/>
  <c r="AC409" i="22"/>
  <c r="AD409" i="22"/>
  <c r="AE409" i="22"/>
  <c r="AF409" i="22"/>
  <c r="AG409" i="22"/>
  <c r="AH409" i="22"/>
  <c r="AI409" i="22"/>
  <c r="AJ409" i="22"/>
  <c r="AK409" i="22"/>
  <c r="AL409" i="22"/>
  <c r="AM409" i="22"/>
  <c r="AN409" i="22"/>
  <c r="AO409" i="22"/>
  <c r="AP409" i="22"/>
  <c r="AQ409" i="22"/>
  <c r="AR409" i="22"/>
  <c r="AS409" i="22"/>
  <c r="AT409" i="22"/>
  <c r="AU409" i="22"/>
  <c r="AV409" i="22"/>
  <c r="AW409" i="22"/>
  <c r="AX409" i="22"/>
  <c r="AY409" i="22"/>
  <c r="AZ409" i="22"/>
  <c r="BA409" i="22"/>
  <c r="BB409" i="22"/>
  <c r="BC409" i="22"/>
  <c r="BD409" i="22"/>
  <c r="BE409" i="22"/>
  <c r="BF409" i="22"/>
  <c r="BG409" i="22"/>
  <c r="BH409" i="22"/>
  <c r="BI409" i="22"/>
  <c r="BJ409" i="22"/>
  <c r="BK409" i="22"/>
  <c r="BL409" i="22"/>
  <c r="BM409" i="22"/>
  <c r="BN409" i="22"/>
  <c r="BO409" i="22"/>
  <c r="BP409" i="22"/>
  <c r="BQ409" i="22"/>
  <c r="BR409" i="22"/>
  <c r="BS409" i="22"/>
  <c r="BT409" i="22"/>
  <c r="BU409" i="22"/>
  <c r="BV409" i="22"/>
  <c r="BW409" i="22"/>
  <c r="BX409" i="22"/>
  <c r="BY409" i="22"/>
  <c r="BZ409" i="22"/>
  <c r="CA409" i="22"/>
  <c r="CB409" i="22"/>
  <c r="A410" i="22"/>
  <c r="B410" i="22"/>
  <c r="C410" i="22"/>
  <c r="D410" i="22"/>
  <c r="E410" i="22"/>
  <c r="F410" i="22"/>
  <c r="G410" i="22"/>
  <c r="H410" i="22"/>
  <c r="I410" i="22"/>
  <c r="J410" i="22"/>
  <c r="K410" i="22"/>
  <c r="L410" i="22"/>
  <c r="M410" i="22"/>
  <c r="N410" i="22"/>
  <c r="O410" i="22"/>
  <c r="P410" i="22"/>
  <c r="Q410" i="22"/>
  <c r="R410" i="22"/>
  <c r="S410" i="22"/>
  <c r="T410" i="22"/>
  <c r="U410" i="22"/>
  <c r="V410" i="22"/>
  <c r="W410" i="22"/>
  <c r="X410" i="22"/>
  <c r="Y410" i="22"/>
  <c r="Z410" i="22"/>
  <c r="AA410" i="22"/>
  <c r="AB410" i="22"/>
  <c r="AC410" i="22"/>
  <c r="AD410" i="22"/>
  <c r="AE410" i="22"/>
  <c r="AF410" i="22"/>
  <c r="AG410" i="22"/>
  <c r="AH410" i="22"/>
  <c r="AI410" i="22"/>
  <c r="AJ410" i="22"/>
  <c r="AK410" i="22"/>
  <c r="AL410" i="22"/>
  <c r="AM410" i="22"/>
  <c r="AN410" i="22"/>
  <c r="AO410" i="22"/>
  <c r="AP410" i="22"/>
  <c r="AQ410" i="22"/>
  <c r="AR410" i="22"/>
  <c r="AS410" i="22"/>
  <c r="AT410" i="22"/>
  <c r="AU410" i="22"/>
  <c r="AV410" i="22"/>
  <c r="AW410" i="22"/>
  <c r="AX410" i="22"/>
  <c r="AY410" i="22"/>
  <c r="AZ410" i="22"/>
  <c r="BA410" i="22"/>
  <c r="BB410" i="22"/>
  <c r="BC410" i="22"/>
  <c r="BD410" i="22"/>
  <c r="BE410" i="22"/>
  <c r="BF410" i="22"/>
  <c r="BG410" i="22"/>
  <c r="BH410" i="22"/>
  <c r="BI410" i="22"/>
  <c r="BJ410" i="22"/>
  <c r="BK410" i="22"/>
  <c r="BL410" i="22"/>
  <c r="BM410" i="22"/>
  <c r="BN410" i="22"/>
  <c r="BO410" i="22"/>
  <c r="BP410" i="22"/>
  <c r="BQ410" i="22"/>
  <c r="BR410" i="22"/>
  <c r="BS410" i="22"/>
  <c r="BT410" i="22"/>
  <c r="BU410" i="22"/>
  <c r="BV410" i="22"/>
  <c r="BW410" i="22"/>
  <c r="BX410" i="22"/>
  <c r="BY410" i="22"/>
  <c r="BZ410" i="22"/>
  <c r="CA410" i="22"/>
  <c r="CB410" i="22"/>
  <c r="A411" i="22"/>
  <c r="B411" i="22"/>
  <c r="C411" i="22"/>
  <c r="D411" i="22"/>
  <c r="E411" i="22"/>
  <c r="F411" i="22"/>
  <c r="G411" i="22"/>
  <c r="H411" i="22"/>
  <c r="I411" i="22"/>
  <c r="J411" i="22"/>
  <c r="K411" i="22"/>
  <c r="L411" i="22"/>
  <c r="M411" i="22"/>
  <c r="N411" i="22"/>
  <c r="O411" i="22"/>
  <c r="P411" i="22"/>
  <c r="Q411" i="22"/>
  <c r="R411" i="22"/>
  <c r="S411" i="22"/>
  <c r="T411" i="22"/>
  <c r="U411" i="22"/>
  <c r="V411" i="22"/>
  <c r="W411" i="22"/>
  <c r="X411" i="22"/>
  <c r="Y411" i="22"/>
  <c r="Z411" i="22"/>
  <c r="AA411" i="22"/>
  <c r="AB411" i="22"/>
  <c r="AC411" i="22"/>
  <c r="AD411" i="22"/>
  <c r="AE411" i="22"/>
  <c r="AF411" i="22"/>
  <c r="AG411" i="22"/>
  <c r="AH411" i="22"/>
  <c r="AI411" i="22"/>
  <c r="AJ411" i="22"/>
  <c r="AK411" i="22"/>
  <c r="AL411" i="22"/>
  <c r="AM411" i="22"/>
  <c r="AN411" i="22"/>
  <c r="AO411" i="22"/>
  <c r="AP411" i="22"/>
  <c r="AQ411" i="22"/>
  <c r="AR411" i="22"/>
  <c r="AS411" i="22"/>
  <c r="AT411" i="22"/>
  <c r="AU411" i="22"/>
  <c r="AV411" i="22"/>
  <c r="AW411" i="22"/>
  <c r="AX411" i="22"/>
  <c r="AY411" i="22"/>
  <c r="AZ411" i="22"/>
  <c r="BA411" i="22"/>
  <c r="BB411" i="22"/>
  <c r="BC411" i="22"/>
  <c r="BD411" i="22"/>
  <c r="BE411" i="22"/>
  <c r="BF411" i="22"/>
  <c r="BG411" i="22"/>
  <c r="BH411" i="22"/>
  <c r="BI411" i="22"/>
  <c r="BJ411" i="22"/>
  <c r="BK411" i="22"/>
  <c r="BL411" i="22"/>
  <c r="BM411" i="22"/>
  <c r="BN411" i="22"/>
  <c r="BO411" i="22"/>
  <c r="BP411" i="22"/>
  <c r="BQ411" i="22"/>
  <c r="BR411" i="22"/>
  <c r="BS411" i="22"/>
  <c r="BT411" i="22"/>
  <c r="BU411" i="22"/>
  <c r="BV411" i="22"/>
  <c r="BW411" i="22"/>
  <c r="BX411" i="22"/>
  <c r="BY411" i="22"/>
  <c r="BZ411" i="22"/>
  <c r="CA411" i="22"/>
  <c r="CB411" i="22"/>
  <c r="A412" i="22"/>
  <c r="B412" i="22"/>
  <c r="C412" i="22"/>
  <c r="D412" i="22"/>
  <c r="E412" i="22"/>
  <c r="F412" i="22"/>
  <c r="G412" i="22"/>
  <c r="H412" i="22"/>
  <c r="I412" i="22"/>
  <c r="J412" i="22"/>
  <c r="K412" i="22"/>
  <c r="L412" i="22"/>
  <c r="M412" i="22"/>
  <c r="N412" i="22"/>
  <c r="O412" i="22"/>
  <c r="P412" i="22"/>
  <c r="Q412" i="22"/>
  <c r="R412" i="22"/>
  <c r="S412" i="22"/>
  <c r="T412" i="22"/>
  <c r="U412" i="22"/>
  <c r="V412" i="22"/>
  <c r="W412" i="22"/>
  <c r="X412" i="22"/>
  <c r="Y412" i="22"/>
  <c r="Z412" i="22"/>
  <c r="AA412" i="22"/>
  <c r="AB412" i="22"/>
  <c r="AC412" i="22"/>
  <c r="AD412" i="22"/>
  <c r="AE412" i="22"/>
  <c r="AF412" i="22"/>
  <c r="AG412" i="22"/>
  <c r="AH412" i="22"/>
  <c r="AI412" i="22"/>
  <c r="AJ412" i="22"/>
  <c r="B339" i="22"/>
  <c r="C339" i="22"/>
  <c r="D339" i="22"/>
  <c r="E339" i="22"/>
  <c r="F339" i="22"/>
  <c r="G339" i="22"/>
  <c r="H339" i="22"/>
  <c r="I339" i="22"/>
  <c r="J339" i="22"/>
  <c r="K339" i="22"/>
  <c r="L339" i="22"/>
  <c r="M339" i="22"/>
  <c r="N339" i="22"/>
  <c r="O339" i="22"/>
  <c r="P339" i="22"/>
  <c r="Q339" i="22"/>
  <c r="R339" i="22"/>
  <c r="S339" i="22"/>
  <c r="T339" i="22"/>
  <c r="U339" i="22"/>
  <c r="V339" i="22"/>
  <c r="W339" i="22"/>
  <c r="X339" i="22"/>
  <c r="Y339" i="22"/>
  <c r="Z339" i="22"/>
  <c r="AA339" i="22"/>
  <c r="AB339" i="22"/>
  <c r="AC339" i="22"/>
  <c r="AD339" i="22"/>
  <c r="AE339" i="22"/>
  <c r="AF339" i="22"/>
  <c r="AG339" i="22"/>
  <c r="AH339" i="22"/>
  <c r="AI339" i="22"/>
  <c r="AJ339" i="22"/>
  <c r="AK339" i="22"/>
  <c r="AL339" i="22"/>
  <c r="AM339" i="22"/>
  <c r="AN339" i="22"/>
  <c r="AO339" i="22"/>
  <c r="AP339" i="22"/>
  <c r="AQ339" i="22"/>
  <c r="AR339" i="22"/>
  <c r="AS339" i="22"/>
  <c r="AT339" i="22"/>
  <c r="AU339" i="22"/>
  <c r="AV339" i="22"/>
  <c r="AW339" i="22"/>
  <c r="AX339" i="22"/>
  <c r="AY339" i="22"/>
  <c r="AZ339" i="22"/>
  <c r="BA339" i="22"/>
  <c r="BB339" i="22"/>
  <c r="BC339" i="22"/>
  <c r="BD339" i="22"/>
  <c r="BE339" i="22"/>
  <c r="BF339" i="22"/>
  <c r="BG339" i="22"/>
  <c r="BH339" i="22"/>
  <c r="BI339" i="22"/>
  <c r="BJ339" i="22"/>
  <c r="BK339" i="22"/>
  <c r="BL339" i="22"/>
  <c r="BM339" i="22"/>
  <c r="BN339" i="22"/>
  <c r="BO339" i="22"/>
  <c r="BP339" i="22"/>
  <c r="BQ339" i="22"/>
  <c r="BR339" i="22"/>
  <c r="BS339" i="22"/>
  <c r="BT339" i="22"/>
  <c r="BU339" i="22"/>
  <c r="BV339" i="22"/>
  <c r="BW339" i="22"/>
  <c r="BX339" i="22"/>
  <c r="BY339" i="22"/>
  <c r="BZ339" i="22"/>
  <c r="CA339" i="22"/>
  <c r="CB339" i="22"/>
  <c r="A340" i="22"/>
  <c r="B340" i="22"/>
  <c r="C340" i="22"/>
  <c r="D340" i="22"/>
  <c r="E340" i="22"/>
  <c r="F340" i="22"/>
  <c r="G340" i="22"/>
  <c r="H340" i="22"/>
  <c r="I340" i="22"/>
  <c r="J340" i="22"/>
  <c r="K340" i="22"/>
  <c r="L340" i="22"/>
  <c r="M340" i="22"/>
  <c r="N340" i="22"/>
  <c r="O340" i="22"/>
  <c r="P340" i="22"/>
  <c r="Q340" i="22"/>
  <c r="R340" i="22"/>
  <c r="S340" i="22"/>
  <c r="T340" i="22"/>
  <c r="U340" i="22"/>
  <c r="V340" i="22"/>
  <c r="W340" i="22"/>
  <c r="X340" i="22"/>
  <c r="Y340" i="22"/>
  <c r="Z340" i="22"/>
  <c r="AA340" i="22"/>
  <c r="AB340" i="22"/>
  <c r="AC340" i="22"/>
  <c r="AD340" i="22"/>
  <c r="AE340" i="22"/>
  <c r="AF340" i="22"/>
  <c r="AG340" i="22"/>
  <c r="AH340" i="22"/>
  <c r="AI340" i="22"/>
  <c r="AJ340" i="22"/>
  <c r="Z352" i="22"/>
  <c r="AA352" i="22"/>
  <c r="AB352" i="22"/>
  <c r="AC352" i="22"/>
  <c r="AD352" i="22"/>
  <c r="AE352" i="22"/>
  <c r="AF352" i="22"/>
  <c r="AG352" i="22"/>
  <c r="AH352" i="22"/>
  <c r="AI352" i="22"/>
  <c r="AJ352" i="22"/>
  <c r="AK352" i="22"/>
  <c r="AL352" i="22"/>
  <c r="AM352" i="22"/>
  <c r="AN352" i="22"/>
  <c r="AO352" i="22"/>
  <c r="AP352" i="22"/>
  <c r="AQ352" i="22"/>
  <c r="AR352" i="22"/>
  <c r="AS352" i="22"/>
  <c r="AT352" i="22"/>
  <c r="AU352" i="22"/>
  <c r="AV352" i="22"/>
  <c r="AW352" i="22"/>
  <c r="AX352" i="22"/>
  <c r="AY352" i="22"/>
  <c r="AZ352" i="22"/>
  <c r="BA352" i="22"/>
  <c r="BB352" i="22"/>
  <c r="BC352" i="22"/>
  <c r="BD352" i="22"/>
  <c r="BE352" i="22"/>
  <c r="BF352" i="22"/>
  <c r="BG352" i="22"/>
  <c r="BH352" i="22"/>
  <c r="BI352" i="22"/>
  <c r="BJ352" i="22"/>
  <c r="BK352" i="22"/>
  <c r="BL352" i="22"/>
  <c r="BM352" i="22"/>
  <c r="BN352" i="22"/>
  <c r="BO352" i="22"/>
  <c r="BP352" i="22"/>
  <c r="BQ352" i="22"/>
  <c r="BR352" i="22"/>
  <c r="BS352" i="22"/>
  <c r="BT352" i="22"/>
  <c r="BU352" i="22"/>
  <c r="BV352" i="22"/>
  <c r="BW352" i="22"/>
  <c r="BX352" i="22"/>
  <c r="BY352" i="22"/>
  <c r="BZ352" i="22"/>
  <c r="CA352" i="22"/>
  <c r="CB352" i="22"/>
  <c r="A353" i="22"/>
  <c r="B353" i="22"/>
  <c r="C353" i="22"/>
  <c r="D353" i="22"/>
  <c r="E353" i="22"/>
  <c r="F353" i="22"/>
  <c r="G353" i="22"/>
  <c r="H353" i="22"/>
  <c r="I353" i="22"/>
  <c r="J353" i="22"/>
  <c r="K353" i="22"/>
  <c r="L353" i="22"/>
  <c r="M353" i="22"/>
  <c r="N353" i="22"/>
  <c r="O353" i="22"/>
  <c r="P353" i="22"/>
  <c r="Q353" i="22"/>
  <c r="R353" i="22"/>
  <c r="S353" i="22"/>
  <c r="T353" i="22"/>
  <c r="U353" i="22"/>
  <c r="V353" i="22"/>
  <c r="W353" i="22"/>
  <c r="X353" i="22"/>
  <c r="Y353" i="22"/>
  <c r="Z353" i="22"/>
  <c r="AA353" i="22"/>
  <c r="AB353" i="22"/>
  <c r="AC353" i="22"/>
  <c r="AD353" i="22"/>
  <c r="AE353" i="22"/>
  <c r="AF353" i="22"/>
  <c r="AG353" i="22"/>
  <c r="AH353" i="22"/>
  <c r="AI353" i="22"/>
  <c r="AJ353" i="22"/>
  <c r="AK353" i="22"/>
  <c r="AL353" i="22"/>
  <c r="AM353" i="22"/>
  <c r="AN353" i="22"/>
  <c r="AO353" i="22"/>
  <c r="AP353" i="22"/>
  <c r="AQ353" i="22"/>
  <c r="AR353" i="22"/>
  <c r="AS353" i="22"/>
  <c r="AT353" i="22"/>
  <c r="AU353" i="22"/>
  <c r="AV353" i="22"/>
  <c r="AW353" i="22"/>
  <c r="AX353" i="22"/>
  <c r="AY353" i="22"/>
  <c r="AZ353" i="22"/>
  <c r="BA353" i="22"/>
  <c r="BB353" i="22"/>
  <c r="BC353" i="22"/>
  <c r="BD353" i="22"/>
  <c r="BE353" i="22"/>
  <c r="BF353" i="22"/>
  <c r="BG353" i="22"/>
  <c r="BH353" i="22"/>
  <c r="BI353" i="22"/>
  <c r="BJ353" i="22"/>
  <c r="BK353" i="22"/>
  <c r="BL353" i="22"/>
  <c r="BM353" i="22"/>
  <c r="BN353" i="22"/>
  <c r="BO353" i="22"/>
  <c r="BP353" i="22"/>
  <c r="BQ353" i="22"/>
  <c r="BR353" i="22"/>
  <c r="BS353" i="22"/>
  <c r="BT353" i="22"/>
  <c r="BU353" i="22"/>
  <c r="BV353" i="22"/>
  <c r="BW353" i="22"/>
  <c r="BX353" i="22"/>
  <c r="BY353" i="22"/>
  <c r="BZ353" i="22"/>
  <c r="CA353" i="22"/>
  <c r="CB353" i="22"/>
  <c r="A354" i="22"/>
  <c r="B354" i="22"/>
  <c r="C354" i="22"/>
  <c r="D354" i="22"/>
  <c r="E354" i="22"/>
  <c r="F354" i="22"/>
  <c r="G354" i="22"/>
  <c r="H354" i="22"/>
  <c r="I354" i="22"/>
  <c r="J354" i="22"/>
  <c r="K354" i="22"/>
  <c r="L354" i="22"/>
  <c r="M354" i="22"/>
  <c r="N354" i="22"/>
  <c r="O354" i="22"/>
  <c r="P354" i="22"/>
  <c r="Q354" i="22"/>
  <c r="R354" i="22"/>
  <c r="S354" i="22"/>
  <c r="T354" i="22"/>
  <c r="U354" i="22"/>
  <c r="V354" i="22"/>
  <c r="W354" i="22"/>
  <c r="X354" i="22"/>
  <c r="Y354" i="22"/>
  <c r="Z354" i="22"/>
  <c r="AA354" i="22"/>
  <c r="AB354" i="22"/>
  <c r="AC354" i="22"/>
  <c r="AD354" i="22"/>
  <c r="AE354" i="22"/>
  <c r="AF354" i="22"/>
  <c r="AG354" i="22"/>
  <c r="AH354" i="22"/>
  <c r="AI354" i="22"/>
  <c r="AJ354" i="22"/>
  <c r="AK354" i="22"/>
  <c r="AL354" i="22"/>
  <c r="AM354" i="22"/>
  <c r="AN354" i="22"/>
  <c r="AO354" i="22"/>
  <c r="AP354" i="22"/>
  <c r="AQ354" i="22"/>
  <c r="AR354" i="22"/>
  <c r="AS354" i="22"/>
  <c r="AT354" i="22"/>
  <c r="AU354" i="22"/>
  <c r="AV354" i="22"/>
  <c r="AW354" i="22"/>
  <c r="AX354" i="22"/>
  <c r="AY354" i="22"/>
  <c r="AZ354" i="22"/>
  <c r="BA354" i="22"/>
  <c r="BB354" i="22"/>
  <c r="BC354" i="22"/>
  <c r="BD354" i="22"/>
  <c r="BE354" i="22"/>
  <c r="BF354" i="22"/>
  <c r="BG354" i="22"/>
  <c r="BH354" i="22"/>
  <c r="BI354" i="22"/>
  <c r="BJ354" i="22"/>
  <c r="BK354" i="22"/>
  <c r="BL354" i="22"/>
  <c r="BM354" i="22"/>
  <c r="BN354" i="22"/>
  <c r="BO354" i="22"/>
  <c r="BP354" i="22"/>
  <c r="BQ354" i="22"/>
  <c r="BR354" i="22"/>
  <c r="BS354" i="22"/>
  <c r="BT354" i="22"/>
  <c r="BU354" i="22"/>
  <c r="BV354" i="22"/>
  <c r="BW354" i="22"/>
  <c r="BX354" i="22"/>
  <c r="BY354" i="22"/>
  <c r="BZ354" i="22"/>
  <c r="CA354" i="22"/>
  <c r="CB354" i="22"/>
  <c r="A355" i="22"/>
  <c r="B355" i="22"/>
  <c r="C355" i="22"/>
  <c r="D355" i="22"/>
  <c r="E355" i="22"/>
  <c r="F355" i="22"/>
  <c r="G355" i="22"/>
  <c r="H355" i="22"/>
  <c r="I355" i="22"/>
  <c r="J355" i="22"/>
  <c r="K355" i="22"/>
  <c r="L355" i="22"/>
  <c r="M355" i="22"/>
  <c r="N355" i="22"/>
  <c r="O355" i="22"/>
  <c r="P355" i="22"/>
  <c r="Q355" i="22"/>
  <c r="R355" i="22"/>
  <c r="S355" i="22"/>
  <c r="T355" i="22"/>
  <c r="U355" i="22"/>
  <c r="V355" i="22"/>
  <c r="W355" i="22"/>
  <c r="X355" i="22"/>
  <c r="Y355" i="22"/>
  <c r="Z355" i="22"/>
  <c r="AA355" i="22"/>
  <c r="AB355" i="22"/>
  <c r="AC355" i="22"/>
  <c r="AD355" i="22"/>
  <c r="AE355" i="22"/>
  <c r="AF355" i="22"/>
  <c r="AG355" i="22"/>
  <c r="AH355" i="22"/>
  <c r="AI355" i="22"/>
  <c r="AJ355" i="22"/>
  <c r="AK355" i="22"/>
  <c r="AL355" i="22"/>
  <c r="AM355" i="22"/>
  <c r="AN355" i="22"/>
  <c r="AO355" i="22"/>
  <c r="AP355" i="22"/>
  <c r="AQ355" i="22"/>
  <c r="AR355" i="22"/>
  <c r="AS355" i="22"/>
  <c r="AT355" i="22"/>
  <c r="AU355" i="22"/>
  <c r="AV355" i="22"/>
  <c r="AW355" i="22"/>
  <c r="AX355" i="22"/>
  <c r="AY355" i="22"/>
  <c r="AZ355" i="22"/>
  <c r="BA355" i="22"/>
  <c r="BB355" i="22"/>
  <c r="BC355" i="22"/>
  <c r="BD355" i="22"/>
  <c r="BE355" i="22"/>
  <c r="BF355" i="22"/>
  <c r="BG355" i="22"/>
  <c r="BH355" i="22"/>
  <c r="BI355" i="22"/>
  <c r="BJ355" i="22"/>
  <c r="BK355" i="22"/>
  <c r="BL355" i="22"/>
  <c r="BM355" i="22"/>
  <c r="BN355" i="22"/>
  <c r="BO355" i="22"/>
  <c r="BP355" i="22"/>
  <c r="BQ355" i="22"/>
  <c r="BR355" i="22"/>
  <c r="BS355" i="22"/>
  <c r="BT355" i="22"/>
  <c r="BU355" i="22"/>
  <c r="BV355" i="22"/>
  <c r="BW355" i="22"/>
  <c r="BX355" i="22"/>
  <c r="BY355" i="22"/>
  <c r="BZ355" i="22"/>
  <c r="CA355" i="22"/>
  <c r="CB355" i="22"/>
  <c r="A356" i="22"/>
  <c r="B356" i="22"/>
  <c r="C356" i="22"/>
  <c r="D356" i="22"/>
  <c r="E356" i="22"/>
  <c r="F356" i="22"/>
  <c r="G356" i="22"/>
  <c r="H356" i="22"/>
  <c r="I356" i="22"/>
  <c r="J356" i="22"/>
  <c r="K356" i="22"/>
  <c r="L356" i="22"/>
  <c r="M356" i="22"/>
  <c r="N356" i="22"/>
  <c r="O356" i="22"/>
  <c r="P356" i="22"/>
  <c r="Q356" i="22"/>
  <c r="R356" i="22"/>
  <c r="S356" i="22"/>
  <c r="T356" i="22"/>
  <c r="U356" i="22"/>
  <c r="V356" i="22"/>
  <c r="W356" i="22"/>
  <c r="X356" i="22"/>
  <c r="Y356" i="22"/>
  <c r="Z356" i="22"/>
  <c r="AA356" i="22"/>
  <c r="AB356" i="22"/>
  <c r="AC356" i="22"/>
  <c r="AD356" i="22"/>
  <c r="AE356" i="22"/>
  <c r="AF356" i="22"/>
  <c r="AG356" i="22"/>
  <c r="AH356" i="22"/>
  <c r="AI356" i="22"/>
  <c r="AJ356" i="22"/>
  <c r="AK356" i="22"/>
  <c r="AL356" i="22"/>
  <c r="AM356" i="22"/>
  <c r="AN356" i="22"/>
  <c r="AO356" i="22"/>
  <c r="AP356" i="22"/>
  <c r="AQ356" i="22"/>
  <c r="AR356" i="22"/>
  <c r="AS356" i="22"/>
  <c r="AT356" i="22"/>
  <c r="AU356" i="22"/>
  <c r="AV356" i="22"/>
  <c r="AW356" i="22"/>
  <c r="AX356" i="22"/>
  <c r="AY356" i="22"/>
  <c r="AZ356" i="22"/>
  <c r="BA356" i="22"/>
  <c r="BB356" i="22"/>
  <c r="BC356" i="22"/>
  <c r="BD356" i="22"/>
  <c r="BE356" i="22"/>
  <c r="BF356" i="22"/>
  <c r="BG356" i="22"/>
  <c r="BH356" i="22"/>
  <c r="BI356" i="22"/>
  <c r="BJ356" i="22"/>
  <c r="BK356" i="22"/>
  <c r="BL356" i="22"/>
  <c r="BM356" i="22"/>
  <c r="BN356" i="22"/>
  <c r="BO356" i="22"/>
  <c r="BP356" i="22"/>
  <c r="BQ356" i="22"/>
  <c r="BR356" i="22"/>
  <c r="BS356" i="22"/>
  <c r="BT356" i="22"/>
  <c r="BU356" i="22"/>
  <c r="BV356" i="22"/>
  <c r="BW356" i="22"/>
  <c r="BX356" i="22"/>
  <c r="BY356" i="22"/>
  <c r="BZ356" i="22"/>
  <c r="CA356" i="22"/>
  <c r="CB356" i="22"/>
  <c r="A357" i="22"/>
  <c r="B357" i="22"/>
  <c r="C357" i="22"/>
  <c r="D357" i="22"/>
  <c r="E357" i="22"/>
  <c r="F357" i="22"/>
  <c r="G357" i="22"/>
  <c r="H357" i="22"/>
  <c r="I357" i="22"/>
  <c r="J357" i="22"/>
  <c r="K357" i="22"/>
  <c r="L357" i="22"/>
  <c r="M357" i="22"/>
  <c r="N357" i="22"/>
  <c r="O357" i="22"/>
  <c r="P357" i="22"/>
  <c r="Q357" i="22"/>
  <c r="R357" i="22"/>
  <c r="S357" i="22"/>
  <c r="T357" i="22"/>
  <c r="U357" i="22"/>
  <c r="V357" i="22"/>
  <c r="W357" i="22"/>
  <c r="X357" i="22"/>
  <c r="Y357" i="22"/>
  <c r="Z357" i="22"/>
  <c r="AA357" i="22"/>
  <c r="AB357" i="22"/>
  <c r="AC357" i="22"/>
  <c r="AD357" i="22"/>
  <c r="AE357" i="22"/>
  <c r="AF357" i="22"/>
  <c r="AG357" i="22"/>
  <c r="AH357" i="22"/>
  <c r="AI357" i="22"/>
  <c r="AJ357" i="22"/>
  <c r="AK357" i="22"/>
  <c r="AL357" i="22"/>
  <c r="AM357" i="22"/>
  <c r="AN357" i="22"/>
  <c r="AO357" i="22"/>
  <c r="AP357" i="22"/>
  <c r="AQ357" i="22"/>
  <c r="AR357" i="22"/>
  <c r="AS357" i="22"/>
  <c r="AT357" i="22"/>
  <c r="AU357" i="22"/>
  <c r="AV357" i="22"/>
  <c r="AW357" i="22"/>
  <c r="AX357" i="22"/>
  <c r="AY357" i="22"/>
  <c r="AZ357" i="22"/>
  <c r="BA357" i="22"/>
  <c r="BB357" i="22"/>
  <c r="BC357" i="22"/>
  <c r="BD357" i="22"/>
  <c r="BE357" i="22"/>
  <c r="BF357" i="22"/>
  <c r="BG357" i="22"/>
  <c r="BH357" i="22"/>
  <c r="BI357" i="22"/>
  <c r="BJ357" i="22"/>
  <c r="BK357" i="22"/>
  <c r="BL357" i="22"/>
  <c r="BM357" i="22"/>
  <c r="BN357" i="22"/>
  <c r="BO357" i="22"/>
  <c r="BP357" i="22"/>
  <c r="BQ357" i="22"/>
  <c r="BR357" i="22"/>
  <c r="BS357" i="22"/>
  <c r="BT357" i="22"/>
  <c r="BU357" i="22"/>
  <c r="BV357" i="22"/>
  <c r="BW357" i="22"/>
  <c r="BX357" i="22"/>
  <c r="BY357" i="22"/>
  <c r="BZ357" i="22"/>
  <c r="CA357" i="22"/>
  <c r="CB357" i="22"/>
  <c r="A358" i="22"/>
  <c r="B358" i="22"/>
  <c r="C358" i="22"/>
  <c r="D358" i="22"/>
  <c r="E358" i="22"/>
  <c r="F358" i="22"/>
  <c r="G358" i="22"/>
  <c r="H358" i="22"/>
  <c r="I358" i="22"/>
  <c r="Q358" i="22"/>
  <c r="R358" i="22"/>
  <c r="V358" i="22"/>
  <c r="W358" i="22"/>
  <c r="Y358" i="22"/>
  <c r="Z358" i="22"/>
  <c r="AY345" i="22"/>
  <c r="AC358" i="22"/>
  <c r="AF358" i="22"/>
  <c r="AG358" i="22"/>
  <c r="AI358" i="22"/>
  <c r="AK358" i="22"/>
  <c r="AO358" i="22"/>
  <c r="AR358" i="22"/>
  <c r="AS358" i="22"/>
  <c r="AU358" i="22"/>
  <c r="AV358" i="22"/>
  <c r="AW358" i="22"/>
  <c r="AY358" i="22"/>
  <c r="AZ358" i="22"/>
  <c r="BA358" i="22"/>
  <c r="BC358" i="22"/>
  <c r="BD358" i="22"/>
  <c r="BF358" i="22"/>
  <c r="BG358" i="22"/>
  <c r="BJ358" i="22"/>
  <c r="BK358" i="22"/>
  <c r="BP358" i="22"/>
  <c r="BQ358" i="22"/>
  <c r="BR358" i="22"/>
  <c r="BS358" i="22"/>
  <c r="BT358" i="22"/>
  <c r="BU358" i="22"/>
  <c r="BV358" i="22"/>
  <c r="BW358" i="22"/>
  <c r="BX358" i="22"/>
  <c r="BY358" i="22"/>
  <c r="CB358" i="22"/>
  <c r="E359" i="22"/>
  <c r="F359" i="22"/>
  <c r="G359" i="22"/>
  <c r="H359" i="22"/>
  <c r="J359" i="22"/>
  <c r="K359" i="22"/>
  <c r="M359" i="22"/>
  <c r="O359" i="22"/>
  <c r="P359" i="22"/>
  <c r="T359" i="22"/>
  <c r="U359" i="22"/>
  <c r="W359" i="22"/>
  <c r="X359" i="22"/>
  <c r="AF359" i="22"/>
  <c r="AG359" i="22"/>
  <c r="AI359" i="22"/>
  <c r="AJ359" i="22"/>
  <c r="AK359" i="22"/>
  <c r="AM359" i="22"/>
  <c r="AN359" i="22"/>
  <c r="AO359" i="22"/>
  <c r="AS359" i="22"/>
  <c r="AU359" i="22"/>
  <c r="AW359" i="22"/>
  <c r="AY359" i="22"/>
  <c r="AZ359" i="22"/>
  <c r="BC359" i="22"/>
  <c r="BD359" i="22"/>
  <c r="BE359" i="22"/>
  <c r="BF359" i="22"/>
  <c r="BG359" i="22"/>
  <c r="BH359" i="22"/>
  <c r="BI359" i="22"/>
  <c r="BJ359" i="22"/>
  <c r="BK359" i="22"/>
  <c r="BL359" i="22"/>
  <c r="BO359" i="22"/>
  <c r="BP359" i="22"/>
  <c r="BQ359" i="22"/>
  <c r="BR359" i="22"/>
  <c r="BS359" i="22"/>
  <c r="BT359" i="22"/>
  <c r="BU359" i="22"/>
  <c r="BV359" i="22"/>
  <c r="BX359" i="22"/>
  <c r="BZ359" i="22"/>
  <c r="H360" i="22"/>
  <c r="I360" i="22"/>
  <c r="J360" i="22"/>
  <c r="K360" i="22"/>
  <c r="L360" i="22"/>
  <c r="M360" i="22"/>
  <c r="O360" i="22"/>
  <c r="P360" i="22"/>
  <c r="R360" i="22"/>
  <c r="X360" i="22"/>
  <c r="Y360" i="22"/>
  <c r="AF360" i="22"/>
  <c r="AG360" i="22"/>
  <c r="AH360" i="22"/>
  <c r="AL360" i="22"/>
  <c r="AM360" i="22"/>
  <c r="AO360" i="22"/>
  <c r="AS360" i="22"/>
  <c r="AT360" i="22"/>
  <c r="AU360" i="22"/>
  <c r="AV360" i="22"/>
  <c r="AY360" i="22"/>
  <c r="AZ360" i="22"/>
  <c r="BB360" i="22"/>
  <c r="BC360" i="22"/>
  <c r="BD360" i="22"/>
  <c r="BE360" i="22"/>
  <c r="BH360" i="22"/>
  <c r="BJ360" i="22"/>
  <c r="BL360" i="22"/>
  <c r="BP360" i="22"/>
  <c r="BQ360" i="22"/>
  <c r="BR360" i="22"/>
  <c r="BS360" i="22"/>
  <c r="BV360" i="22"/>
  <c r="BX360" i="22"/>
  <c r="BY360" i="22"/>
  <c r="BZ360" i="22"/>
  <c r="B361" i="22"/>
  <c r="C361" i="22"/>
  <c r="D361" i="22"/>
  <c r="H361" i="22"/>
  <c r="J361" i="22"/>
  <c r="P361" i="22"/>
  <c r="R361" i="22"/>
  <c r="S361" i="22"/>
  <c r="T361" i="22"/>
  <c r="U361" i="22"/>
  <c r="V361" i="22"/>
  <c r="X361" i="22"/>
  <c r="Y361" i="22"/>
  <c r="Z361" i="22"/>
  <c r="AC361" i="22"/>
  <c r="AD361" i="22"/>
  <c r="AE361" i="22"/>
  <c r="AF361" i="22"/>
  <c r="AH361" i="22"/>
  <c r="AJ361" i="22"/>
  <c r="AL361" i="22"/>
  <c r="AN361" i="22"/>
  <c r="AQ361" i="22"/>
  <c r="AR361" i="22"/>
  <c r="AV361" i="22"/>
  <c r="AW361" i="22"/>
  <c r="AX361" i="22"/>
  <c r="BB361" i="22"/>
  <c r="BC361" i="22"/>
  <c r="BD361" i="22"/>
  <c r="BF361" i="22"/>
  <c r="BG361" i="22"/>
  <c r="BI361" i="22"/>
  <c r="BK361" i="22"/>
  <c r="BL361" i="22"/>
  <c r="BM361" i="22"/>
  <c r="BN361" i="22"/>
  <c r="BO361" i="22"/>
  <c r="BP361" i="22"/>
  <c r="BR361" i="22"/>
  <c r="BT361" i="22"/>
  <c r="BU361" i="22"/>
  <c r="BV361" i="22"/>
  <c r="CB361" i="22"/>
  <c r="A362" i="22"/>
  <c r="B362" i="22"/>
  <c r="C362" i="22"/>
  <c r="E362" i="22"/>
  <c r="H362" i="22"/>
  <c r="I362" i="22"/>
  <c r="J362" i="22"/>
  <c r="K362" i="22"/>
  <c r="L362" i="22"/>
  <c r="M362" i="22"/>
  <c r="N362" i="22"/>
  <c r="O362" i="22"/>
  <c r="P362" i="22"/>
  <c r="Q362" i="22"/>
  <c r="R362" i="22"/>
  <c r="S362" i="22"/>
  <c r="T362" i="22"/>
  <c r="U362" i="22"/>
  <c r="V362" i="22"/>
  <c r="W362" i="22"/>
  <c r="X362" i="22"/>
  <c r="Y362" i="22"/>
  <c r="Z362" i="22"/>
  <c r="AA362" i="22"/>
  <c r="AB362" i="22"/>
  <c r="AC362" i="22"/>
  <c r="AD362" i="22"/>
  <c r="AE362" i="22"/>
  <c r="AF362" i="22"/>
  <c r="AG362" i="22"/>
  <c r="AH362" i="22"/>
  <c r="AI362" i="22"/>
  <c r="AJ362" i="22"/>
  <c r="AK362" i="22"/>
  <c r="AL362" i="22"/>
  <c r="AM362" i="22"/>
  <c r="AN362" i="22"/>
  <c r="AO362" i="22"/>
  <c r="AP362" i="22"/>
  <c r="AQ362" i="22"/>
  <c r="AR362" i="22"/>
  <c r="AS362" i="22"/>
  <c r="AT362" i="22"/>
  <c r="AU362" i="22"/>
  <c r="AV362" i="22"/>
  <c r="AW362" i="22"/>
  <c r="AX362" i="22"/>
  <c r="AY362" i="22"/>
  <c r="AZ362" i="22"/>
  <c r="BA362" i="22"/>
  <c r="BB362" i="22"/>
  <c r="BC362" i="22"/>
  <c r="BD362" i="22"/>
  <c r="BE362" i="22"/>
  <c r="BF362" i="22"/>
  <c r="BG362" i="22"/>
  <c r="BH362" i="22"/>
  <c r="BI362" i="22"/>
  <c r="BJ362" i="22"/>
  <c r="BK362" i="22"/>
  <c r="BL362" i="22"/>
  <c r="BM362" i="22"/>
  <c r="BN362" i="22"/>
  <c r="BO362" i="22"/>
  <c r="BP362" i="22"/>
  <c r="BQ362" i="22"/>
  <c r="BR362" i="22"/>
  <c r="BS362" i="22"/>
  <c r="BT362" i="22"/>
  <c r="BU362" i="22"/>
  <c r="BV362" i="22"/>
  <c r="BW362" i="22"/>
  <c r="BX362" i="22"/>
  <c r="BY362" i="22"/>
  <c r="BZ362" i="22"/>
  <c r="CA362" i="22"/>
  <c r="CB362" i="22"/>
  <c r="A363" i="22"/>
  <c r="B363" i="22"/>
  <c r="C363" i="22"/>
  <c r="D363" i="22"/>
  <c r="E363" i="22"/>
  <c r="F363" i="22"/>
  <c r="G363" i="22"/>
  <c r="H363" i="22"/>
  <c r="I363" i="22"/>
  <c r="J363" i="22"/>
  <c r="K363" i="22"/>
  <c r="L363" i="22"/>
  <c r="M363" i="22"/>
  <c r="N363" i="22"/>
  <c r="O363" i="22"/>
  <c r="P363" i="22"/>
  <c r="Q363" i="22"/>
  <c r="R363" i="22"/>
  <c r="S363" i="22"/>
  <c r="T363" i="22"/>
  <c r="U363" i="22"/>
  <c r="V363" i="22"/>
  <c r="W363" i="22"/>
  <c r="X363" i="22"/>
  <c r="Y363" i="22"/>
  <c r="Z363" i="22"/>
  <c r="AA363" i="22"/>
  <c r="AB363" i="22"/>
  <c r="AC363" i="22"/>
  <c r="AD363" i="22"/>
  <c r="AE363" i="22"/>
  <c r="AF363" i="22"/>
  <c r="AG363" i="22"/>
  <c r="AH363" i="22"/>
  <c r="L610" i="22" s="1"/>
  <c r="AI363" i="22"/>
  <c r="AJ363" i="22"/>
  <c r="AK363" i="22"/>
  <c r="AL363" i="22"/>
  <c r="AM363" i="22"/>
  <c r="AN363" i="22"/>
  <c r="AO363" i="22"/>
  <c r="AP363" i="22"/>
  <c r="AQ363" i="22"/>
  <c r="AR363" i="22"/>
  <c r="AS363" i="22"/>
  <c r="AT363" i="22"/>
  <c r="AU363" i="22"/>
  <c r="AV363" i="22"/>
  <c r="AW363" i="22"/>
  <c r="AX363" i="22"/>
  <c r="AY363" i="22"/>
  <c r="AZ363" i="22"/>
  <c r="BA363" i="22"/>
  <c r="BB363" i="22"/>
  <c r="BC363" i="22"/>
  <c r="BD363" i="22"/>
  <c r="BE363" i="22"/>
  <c r="BF363" i="22"/>
  <c r="BG363" i="22"/>
  <c r="BH363" i="22"/>
  <c r="BI363" i="22"/>
  <c r="BJ363" i="22"/>
  <c r="BK363" i="22"/>
  <c r="BL363" i="22"/>
  <c r="BM363" i="22"/>
  <c r="BN363" i="22"/>
  <c r="BO363" i="22"/>
  <c r="BP363" i="22"/>
  <c r="BQ363" i="22"/>
  <c r="BR363" i="22"/>
  <c r="BS363" i="22"/>
  <c r="BT363" i="22"/>
  <c r="BU363" i="22"/>
  <c r="BV363" i="22"/>
  <c r="BW363" i="22"/>
  <c r="BX363" i="22"/>
  <c r="BY363" i="22"/>
  <c r="BZ363" i="22"/>
  <c r="CA363" i="22"/>
  <c r="CB363" i="22"/>
  <c r="A364" i="22"/>
  <c r="L611" i="22" s="1"/>
  <c r="B364" i="22"/>
  <c r="C364" i="22"/>
  <c r="D364" i="22"/>
  <c r="E364" i="22"/>
  <c r="F364" i="22"/>
  <c r="G364" i="22"/>
  <c r="H364" i="22"/>
  <c r="I364" i="22"/>
  <c r="J364" i="22"/>
  <c r="K364" i="22"/>
  <c r="L364" i="22"/>
  <c r="M364" i="22"/>
  <c r="N364" i="22"/>
  <c r="O364" i="22"/>
  <c r="P364" i="22"/>
  <c r="Q364" i="22"/>
  <c r="R364" i="22"/>
  <c r="S364" i="22"/>
  <c r="T364" i="22"/>
  <c r="U364" i="22"/>
  <c r="V364" i="22"/>
  <c r="W364" i="22"/>
  <c r="X364" i="22"/>
  <c r="Y364" i="22"/>
  <c r="Z364" i="22"/>
  <c r="AA364" i="22"/>
  <c r="AB364" i="22"/>
  <c r="AC364" i="22"/>
  <c r="AD364" i="22"/>
  <c r="AE364" i="22"/>
  <c r="AF364" i="22"/>
  <c r="AG364" i="22"/>
  <c r="AH364" i="22"/>
  <c r="AI364" i="22"/>
  <c r="AJ364" i="22"/>
  <c r="AK364" i="22"/>
  <c r="AL364" i="22"/>
  <c r="AM364" i="22"/>
  <c r="AN364" i="22"/>
  <c r="AO364" i="22"/>
  <c r="AP364" i="22"/>
  <c r="AQ364" i="22"/>
  <c r="AR364" i="22"/>
  <c r="AS364" i="22"/>
  <c r="AT364" i="22"/>
  <c r="AU364" i="22"/>
  <c r="AV364" i="22"/>
  <c r="AW364" i="22"/>
  <c r="AX364" i="22"/>
  <c r="AY364" i="22"/>
  <c r="AZ364" i="22"/>
  <c r="BA364" i="22"/>
  <c r="BB364" i="22"/>
  <c r="BC364" i="22"/>
  <c r="BI364" i="22"/>
  <c r="BJ364" i="22"/>
  <c r="BK364" i="22"/>
  <c r="BO364" i="22"/>
  <c r="BP364" i="22"/>
  <c r="BQ364" i="22"/>
  <c r="BR364" i="22"/>
  <c r="BS364" i="22"/>
  <c r="BU364" i="22"/>
  <c r="BV364" i="22"/>
  <c r="CA364" i="22"/>
  <c r="CB364" i="22"/>
  <c r="A365" i="22"/>
  <c r="L612" i="22" s="1"/>
  <c r="D365" i="22"/>
  <c r="F365" i="22"/>
  <c r="I365" i="22"/>
  <c r="J365" i="22"/>
  <c r="K365" i="22"/>
  <c r="L365" i="22"/>
  <c r="N365" i="22"/>
  <c r="Q365" i="22"/>
  <c r="X365" i="22"/>
  <c r="Y365" i="22"/>
  <c r="Z365" i="22"/>
  <c r="AA365" i="22"/>
  <c r="AB365" i="22"/>
  <c r="AC365" i="22"/>
  <c r="AH365" i="22"/>
  <c r="AI365" i="22"/>
  <c r="AM365" i="22"/>
  <c r="AN365" i="22"/>
  <c r="AO365" i="22"/>
  <c r="AP365" i="22"/>
  <c r="AQ365" i="22"/>
  <c r="AR365" i="22"/>
  <c r="AS365" i="22"/>
  <c r="AU365" i="22"/>
  <c r="AW365" i="22"/>
  <c r="AY365" i="22"/>
  <c r="AZ365" i="22"/>
  <c r="BA365" i="22"/>
  <c r="BC365" i="22"/>
  <c r="BE365" i="22"/>
  <c r="BF365" i="22"/>
  <c r="BG365" i="22"/>
  <c r="BH365" i="22"/>
  <c r="BK365" i="22"/>
  <c r="BM365" i="22"/>
  <c r="BN365" i="22"/>
  <c r="BO365" i="22"/>
  <c r="BP365" i="22"/>
  <c r="BR365" i="22"/>
  <c r="BU365" i="22"/>
  <c r="BV365" i="22"/>
  <c r="BW365" i="22"/>
  <c r="BX365" i="22"/>
  <c r="B366" i="22"/>
  <c r="L613" i="22" s="1"/>
  <c r="C366" i="22"/>
  <c r="E366" i="22"/>
  <c r="F366" i="22"/>
  <c r="I366" i="22"/>
  <c r="J366" i="22"/>
  <c r="K366" i="22"/>
  <c r="L366" i="22"/>
  <c r="M366" i="22"/>
  <c r="N366" i="22"/>
  <c r="O366" i="22"/>
  <c r="R366" i="22"/>
  <c r="S366" i="22"/>
  <c r="U366" i="22"/>
  <c r="V366" i="22"/>
  <c r="W366" i="22"/>
  <c r="X366" i="22"/>
  <c r="Y366" i="22"/>
  <c r="Z366" i="22"/>
  <c r="AA366" i="22"/>
  <c r="AB366" i="22"/>
  <c r="AC366" i="22"/>
  <c r="AF366" i="22"/>
  <c r="AG366" i="22"/>
  <c r="AI366" i="22"/>
  <c r="AJ366" i="22"/>
  <c r="AK366" i="22"/>
  <c r="AL366" i="22"/>
  <c r="AM366" i="22"/>
  <c r="AO366" i="22"/>
  <c r="AQ366" i="22"/>
  <c r="AT366" i="22"/>
  <c r="AV366" i="22"/>
  <c r="AX366" i="22"/>
  <c r="BA366" i="22"/>
  <c r="BC366" i="22"/>
  <c r="BD366" i="22"/>
  <c r="BE366" i="22"/>
  <c r="BI366" i="22"/>
  <c r="BQ366" i="22"/>
  <c r="BR366" i="22"/>
  <c r="BS366" i="22"/>
  <c r="BT366" i="22"/>
  <c r="BU366" i="22"/>
  <c r="BX366" i="22"/>
  <c r="BZ366" i="22"/>
  <c r="D367" i="22"/>
  <c r="L614" i="22" s="1"/>
  <c r="G367" i="22"/>
  <c r="H367" i="22"/>
  <c r="J367" i="22"/>
  <c r="K367" i="22"/>
  <c r="M367" i="22"/>
  <c r="P367" i="22"/>
  <c r="Q367" i="22"/>
  <c r="R367" i="22"/>
  <c r="S367" i="22"/>
  <c r="T367" i="22"/>
  <c r="U367" i="22"/>
  <c r="W367" i="22"/>
  <c r="X367" i="22"/>
  <c r="Y367" i="22"/>
  <c r="Z367" i="22"/>
  <c r="AA367" i="22"/>
  <c r="AB367" i="22"/>
  <c r="AC367" i="22"/>
  <c r="AE367" i="22"/>
  <c r="AF367" i="22"/>
  <c r="AK367" i="22"/>
  <c r="AL367" i="22"/>
  <c r="AM367" i="22"/>
  <c r="AN367" i="22"/>
  <c r="AP367" i="22"/>
  <c r="AR367" i="22"/>
  <c r="AS367" i="22"/>
  <c r="AT367" i="22"/>
  <c r="AV367" i="22"/>
  <c r="AZ367" i="22"/>
  <c r="BA367" i="22"/>
  <c r="BB367" i="22"/>
  <c r="BC367" i="22"/>
  <c r="BD367" i="22"/>
  <c r="BG367" i="22"/>
  <c r="BI367" i="22"/>
  <c r="BK367" i="22"/>
  <c r="BL367" i="22"/>
  <c r="BT367" i="22"/>
  <c r="BV367" i="22"/>
  <c r="BX367" i="22"/>
  <c r="BY367" i="22"/>
  <c r="B368" i="22"/>
  <c r="L615" i="22" s="1"/>
  <c r="D368" i="22"/>
  <c r="J368" i="22"/>
  <c r="K368" i="22"/>
  <c r="M368" i="22"/>
  <c r="O368" i="22"/>
  <c r="P368" i="22"/>
  <c r="T368" i="22"/>
  <c r="U368" i="22"/>
  <c r="Z368" i="22"/>
  <c r="AA368" i="22"/>
  <c r="AC368" i="22"/>
  <c r="AF368" i="22"/>
  <c r="AH368" i="22"/>
  <c r="AI368" i="22"/>
  <c r="AM368" i="22"/>
  <c r="AO368" i="22"/>
  <c r="AS368" i="22"/>
  <c r="AT368" i="22"/>
  <c r="AU368" i="22"/>
  <c r="AV368" i="22"/>
  <c r="AY368" i="22"/>
  <c r="AZ368" i="22"/>
  <c r="BA368" i="22"/>
  <c r="BB368" i="22"/>
  <c r="BC368" i="22"/>
  <c r="BE368" i="22"/>
  <c r="BH368" i="22"/>
  <c r="BI368" i="22"/>
  <c r="BJ368" i="22"/>
  <c r="BK368" i="22"/>
  <c r="BM368" i="22"/>
  <c r="BN368" i="22"/>
  <c r="BO368" i="22"/>
  <c r="BP368" i="22"/>
  <c r="BQ368" i="22"/>
  <c r="BR368" i="22"/>
  <c r="BW368" i="22"/>
  <c r="CA368" i="22"/>
  <c r="C369" i="22"/>
  <c r="L616" i="22" s="1"/>
  <c r="D369" i="22"/>
  <c r="E369" i="22"/>
  <c r="I369" i="22"/>
  <c r="K369" i="22"/>
  <c r="L369" i="22"/>
  <c r="M369" i="22"/>
  <c r="N369" i="22"/>
  <c r="R369" i="22"/>
  <c r="S369" i="22"/>
  <c r="T369" i="22"/>
  <c r="W369" i="22"/>
  <c r="Y369" i="22"/>
  <c r="Z369" i="22"/>
  <c r="AA369" i="22"/>
  <c r="AB369" i="22"/>
  <c r="AD369" i="22"/>
  <c r="AE369" i="22"/>
  <c r="AI369" i="22"/>
  <c r="AJ369" i="22"/>
  <c r="AL369" i="22"/>
  <c r="AM369" i="22"/>
  <c r="AO369" i="22"/>
  <c r="AR369" i="22"/>
  <c r="AS369" i="22"/>
  <c r="AT369" i="22"/>
  <c r="AU369" i="22"/>
  <c r="AV369" i="22"/>
  <c r="AW369" i="22"/>
  <c r="AY369" i="22"/>
  <c r="AZ369" i="22"/>
  <c r="BB369" i="22"/>
  <c r="BE369" i="22"/>
  <c r="BF369" i="22"/>
  <c r="BJ369" i="22"/>
  <c r="BM369" i="22"/>
  <c r="BN369" i="22"/>
  <c r="BO369" i="22"/>
  <c r="BP369" i="22"/>
  <c r="BR369" i="22"/>
  <c r="BS369" i="22"/>
  <c r="BT369" i="22"/>
  <c r="BV369" i="22"/>
  <c r="BW369" i="22"/>
  <c r="BY369" i="22"/>
  <c r="BZ369" i="22"/>
  <c r="CA369" i="22"/>
  <c r="A370" i="22"/>
  <c r="L617" i="22" s="1"/>
  <c r="C370" i="22"/>
  <c r="E370" i="22"/>
  <c r="F370" i="22"/>
  <c r="G370" i="22"/>
  <c r="I370" i="22"/>
  <c r="O370" i="22"/>
  <c r="T370" i="22"/>
  <c r="V370" i="22"/>
  <c r="Y370" i="22"/>
  <c r="AC370" i="22"/>
  <c r="AD370" i="22"/>
  <c r="AE370" i="22"/>
  <c r="AF370" i="22"/>
  <c r="AG370" i="22"/>
  <c r="AH370" i="22"/>
  <c r="AK370" i="22"/>
  <c r="AM370" i="22"/>
  <c r="AX370" i="22"/>
  <c r="BB370" i="22"/>
  <c r="BE370" i="22"/>
  <c r="BF370" i="22"/>
  <c r="BG370" i="22"/>
  <c r="BI370" i="22"/>
  <c r="BK370" i="22"/>
  <c r="BL370" i="22"/>
  <c r="BM370" i="22"/>
  <c r="BO370" i="22"/>
  <c r="BT370" i="22"/>
  <c r="BW370" i="22"/>
  <c r="BY370" i="22"/>
  <c r="CA370" i="22"/>
  <c r="CB370" i="22"/>
  <c r="A371" i="22"/>
  <c r="L618" i="22" s="1"/>
  <c r="B371" i="22"/>
  <c r="H371" i="22"/>
  <c r="I371" i="22"/>
  <c r="J371" i="22"/>
  <c r="K371" i="22"/>
  <c r="L371" i="22"/>
  <c r="N371" i="22"/>
  <c r="O371" i="22"/>
  <c r="A339" i="22"/>
  <c r="L586" i="22" s="1"/>
  <c r="T371" i="22"/>
  <c r="U371" i="22"/>
  <c r="V371" i="22"/>
  <c r="W371" i="22"/>
  <c r="X371" i="22"/>
  <c r="Y371" i="22"/>
  <c r="Z371" i="22"/>
  <c r="AB371" i="22"/>
  <c r="AD371" i="22"/>
  <c r="AE371" i="22"/>
  <c r="AI371" i="22"/>
  <c r="AK371" i="22"/>
  <c r="AL371" i="22"/>
  <c r="AN371" i="22"/>
  <c r="AT371" i="22"/>
  <c r="AV371" i="22"/>
  <c r="AW371" i="22"/>
  <c r="AX371" i="22"/>
  <c r="AY371" i="22"/>
  <c r="AZ371" i="22"/>
  <c r="BA371" i="22"/>
  <c r="BB371" i="22"/>
  <c r="BC371" i="22"/>
  <c r="BG371" i="22"/>
  <c r="BH371" i="22"/>
  <c r="BK371" i="22"/>
  <c r="BL371" i="22"/>
  <c r="BN371" i="22"/>
  <c r="BO371" i="22"/>
  <c r="BP371" i="22"/>
  <c r="BQ371" i="22"/>
  <c r="BR371" i="22"/>
  <c r="BS371" i="22"/>
  <c r="BT371" i="22"/>
  <c r="BU371" i="22"/>
  <c r="BV371" i="22"/>
  <c r="BW371" i="22"/>
  <c r="BX371" i="22"/>
  <c r="BY371" i="22"/>
  <c r="BZ371" i="22"/>
  <c r="CB371" i="22"/>
  <c r="C372" i="22"/>
  <c r="L619" i="22" s="1"/>
  <c r="E372" i="22"/>
  <c r="F372" i="22"/>
  <c r="L372" i="22"/>
  <c r="N372" i="22"/>
  <c r="O372" i="22"/>
  <c r="Q372" i="22"/>
  <c r="R372" i="22"/>
  <c r="V372" i="22"/>
  <c r="W372" i="22"/>
  <c r="Y372" i="22"/>
  <c r="AB372" i="22"/>
  <c r="AD372" i="22"/>
  <c r="AE372" i="22"/>
  <c r="AK372" i="22"/>
  <c r="AM372" i="22"/>
  <c r="AN372" i="22"/>
  <c r="AO372" i="22"/>
  <c r="AP372" i="22"/>
  <c r="AQ372" i="22"/>
  <c r="AR372" i="22"/>
  <c r="AS372" i="22"/>
  <c r="AV372" i="22"/>
  <c r="AW372" i="22"/>
  <c r="AX372" i="22"/>
  <c r="AY372" i="22"/>
  <c r="AZ372" i="22"/>
  <c r="BA372" i="22"/>
  <c r="BB372" i="22"/>
  <c r="BC372" i="22"/>
  <c r="BH372" i="22"/>
  <c r="BQ372" i="22"/>
  <c r="BR372" i="22"/>
  <c r="BT372" i="22"/>
  <c r="BW372" i="22"/>
  <c r="BX372" i="22"/>
  <c r="BY372" i="22"/>
  <c r="BZ372" i="22"/>
  <c r="A373" i="22"/>
  <c r="L620" i="22" s="1"/>
  <c r="I373" i="22"/>
  <c r="M373" i="22"/>
  <c r="N373" i="22"/>
  <c r="Q373" i="22"/>
  <c r="R373" i="22"/>
  <c r="S373" i="22"/>
  <c r="V373" i="22"/>
  <c r="W373" i="22"/>
  <c r="Z373" i="22"/>
  <c r="AC373" i="22"/>
  <c r="AD373" i="22"/>
  <c r="AG373" i="22"/>
  <c r="AI373" i="22"/>
  <c r="AJ373" i="22"/>
  <c r="AM373" i="22"/>
  <c r="AN373" i="22"/>
  <c r="AT373" i="22"/>
  <c r="AU373" i="22"/>
  <c r="AV373" i="22"/>
  <c r="AW373" i="22"/>
  <c r="AX373" i="22"/>
  <c r="AY373" i="22"/>
  <c r="BB373" i="22"/>
  <c r="BD373" i="22"/>
  <c r="BG373" i="22"/>
  <c r="BJ373" i="22"/>
  <c r="BK373" i="22"/>
  <c r="BN373" i="22"/>
  <c r="BO373" i="22"/>
  <c r="BP373" i="22"/>
  <c r="BR373" i="22"/>
  <c r="BS373" i="22"/>
  <c r="BW373" i="22"/>
  <c r="BY373" i="22"/>
  <c r="BZ373" i="22"/>
  <c r="D374" i="22"/>
  <c r="L621" i="22" s="1"/>
  <c r="F374" i="22"/>
  <c r="H374" i="22"/>
  <c r="I374" i="22"/>
  <c r="J374" i="22"/>
  <c r="O374" i="22"/>
  <c r="Q374" i="22"/>
  <c r="T374" i="22"/>
  <c r="V374" i="22"/>
  <c r="X374" i="22"/>
  <c r="Z374" i="22"/>
  <c r="AA374" i="22"/>
  <c r="AD374" i="22"/>
  <c r="AE374" i="22"/>
  <c r="AF374" i="22"/>
  <c r="AG374" i="22"/>
  <c r="AH374" i="22"/>
  <c r="AM374" i="22"/>
  <c r="AO374" i="22"/>
  <c r="AQ374" i="22"/>
  <c r="AU374" i="22"/>
  <c r="AV374" i="22"/>
  <c r="AW374" i="22"/>
  <c r="AX374" i="22"/>
  <c r="AY374" i="22"/>
  <c r="BC374" i="22"/>
  <c r="BI374" i="22"/>
  <c r="BK374" i="22"/>
  <c r="BM374" i="22"/>
  <c r="BO374" i="22"/>
  <c r="BQ374" i="22"/>
  <c r="BS374" i="22"/>
  <c r="BT374" i="22"/>
  <c r="BU374" i="22"/>
  <c r="BV374" i="22"/>
  <c r="BW374" i="22"/>
  <c r="BX374" i="22"/>
  <c r="BY374" i="22"/>
  <c r="BZ374" i="22"/>
  <c r="CA374" i="22"/>
  <c r="CB374" i="22"/>
  <c r="A375" i="22"/>
  <c r="L622" i="22" s="1"/>
  <c r="B375" i="22"/>
  <c r="C375" i="22"/>
  <c r="D375" i="22"/>
  <c r="E375" i="22"/>
  <c r="F375" i="22"/>
  <c r="I375" i="22"/>
  <c r="K375" i="22"/>
  <c r="M375" i="22"/>
  <c r="O375" i="22"/>
  <c r="P375" i="22"/>
  <c r="V375" i="22"/>
  <c r="W375" i="22"/>
  <c r="X375" i="22"/>
  <c r="Z375" i="22"/>
  <c r="AB375" i="22"/>
  <c r="AC375" i="22"/>
  <c r="AE375" i="22"/>
  <c r="AG375" i="22"/>
  <c r="AO375" i="22"/>
  <c r="AP375" i="22"/>
  <c r="AV375" i="22"/>
  <c r="AW375" i="22"/>
  <c r="AX375" i="22"/>
  <c r="AY375" i="22"/>
  <c r="AZ375" i="22"/>
  <c r="BB375" i="22"/>
  <c r="BD375" i="22"/>
  <c r="BE375" i="22"/>
  <c r="BG375" i="22"/>
  <c r="BI375" i="22"/>
  <c r="BJ375" i="22"/>
  <c r="BK375" i="22"/>
  <c r="BL375" i="22"/>
  <c r="BM375" i="22"/>
  <c r="BN375" i="22"/>
  <c r="BO375" i="22"/>
  <c r="BP375" i="22"/>
  <c r="BQ375" i="22"/>
  <c r="BT375" i="22"/>
  <c r="BV375" i="22"/>
  <c r="BX375" i="22"/>
  <c r="BY375" i="22"/>
  <c r="CA375" i="22"/>
  <c r="CB375" i="22"/>
  <c r="D376" i="22"/>
  <c r="L623" i="22" s="1"/>
  <c r="I376" i="22"/>
  <c r="K376" i="22"/>
  <c r="L376" i="22"/>
  <c r="M376" i="22"/>
  <c r="N376" i="22"/>
  <c r="O376" i="22"/>
  <c r="P376" i="22"/>
  <c r="Q376" i="22"/>
  <c r="R376" i="22"/>
  <c r="S376" i="22"/>
  <c r="T376" i="22"/>
  <c r="U376" i="22"/>
  <c r="V376" i="22"/>
  <c r="Y376" i="22"/>
  <c r="Z376" i="22"/>
  <c r="AA376" i="22"/>
  <c r="AB376" i="22"/>
  <c r="AC376" i="22"/>
  <c r="AD376" i="22"/>
  <c r="AF376" i="22"/>
  <c r="AG376" i="22"/>
  <c r="AI376" i="22"/>
  <c r="AQ376" i="22"/>
  <c r="AR376" i="22"/>
  <c r="AS376" i="22"/>
  <c r="AV376" i="22"/>
  <c r="AW376" i="22"/>
  <c r="AX376" i="22"/>
  <c r="AY376" i="22"/>
  <c r="BA376" i="22"/>
  <c r="BF376" i="22"/>
  <c r="BG376" i="22"/>
  <c r="BH376" i="22"/>
  <c r="BI376" i="22"/>
  <c r="BK376" i="22"/>
  <c r="BN376" i="22"/>
  <c r="BP376" i="22"/>
  <c r="BQ376" i="22"/>
  <c r="BR376" i="22"/>
  <c r="BV376" i="22"/>
  <c r="BX376" i="22"/>
  <c r="CA376" i="22"/>
  <c r="A377" i="22"/>
  <c r="L624" i="22" s="1"/>
  <c r="B377" i="22"/>
  <c r="E377" i="22"/>
  <c r="P377" i="22"/>
  <c r="Q377" i="22"/>
  <c r="AA377" i="22"/>
  <c r="BJ379" i="22"/>
  <c r="L626" i="22" s="1"/>
  <c r="BK379" i="22"/>
  <c r="BL379" i="22"/>
  <c r="BM379" i="22"/>
  <c r="BN379" i="22"/>
  <c r="BO379" i="22"/>
  <c r="BP379" i="22"/>
  <c r="BQ379" i="22"/>
  <c r="BR379" i="22"/>
  <c r="BS379" i="22"/>
  <c r="BT379" i="22"/>
  <c r="BU379" i="22"/>
  <c r="BV379" i="22"/>
  <c r="BW379" i="22"/>
  <c r="BX379" i="22"/>
  <c r="BY379" i="22"/>
  <c r="BZ379" i="22"/>
  <c r="CA379" i="22"/>
  <c r="CB379" i="22"/>
  <c r="A380" i="22"/>
  <c r="L627" i="22" s="1"/>
  <c r="B380" i="22"/>
  <c r="C380" i="22"/>
  <c r="D380" i="22"/>
  <c r="E380" i="22"/>
  <c r="F380" i="22"/>
  <c r="G380" i="22"/>
  <c r="H380" i="22"/>
  <c r="I380" i="22"/>
  <c r="J380" i="22"/>
  <c r="K380" i="22"/>
  <c r="L380" i="22"/>
  <c r="M380" i="22"/>
  <c r="N380" i="22"/>
  <c r="O380" i="22"/>
  <c r="P380" i="22"/>
  <c r="Q380" i="22"/>
  <c r="R380" i="22"/>
  <c r="S380" i="22"/>
  <c r="T380" i="22"/>
  <c r="U380" i="22"/>
  <c r="V380" i="22"/>
  <c r="W380" i="22"/>
  <c r="X380" i="22"/>
  <c r="Y380" i="22"/>
  <c r="Z380" i="22"/>
  <c r="AA380" i="22"/>
  <c r="AB380" i="22"/>
  <c r="AC380" i="22"/>
  <c r="AD380" i="22"/>
  <c r="AE380" i="22"/>
  <c r="AF380" i="22"/>
  <c r="AG380" i="22"/>
  <c r="AH380" i="22"/>
  <c r="AI380" i="22"/>
  <c r="AJ380" i="22"/>
  <c r="AK380" i="22"/>
  <c r="AL380" i="22"/>
  <c r="AM380" i="22"/>
  <c r="AN380" i="22"/>
  <c r="AO380" i="22"/>
  <c r="AP380" i="22"/>
  <c r="AQ380" i="22"/>
  <c r="AR380" i="22"/>
  <c r="AS380" i="22"/>
  <c r="AT380" i="22"/>
  <c r="AU380" i="22"/>
  <c r="AV380" i="22"/>
  <c r="AW380" i="22"/>
  <c r="AX380" i="22"/>
  <c r="AY380" i="22"/>
  <c r="AZ380" i="22"/>
  <c r="BA380" i="22"/>
  <c r="BB380" i="22"/>
  <c r="BC380" i="22"/>
  <c r="BD380" i="22"/>
  <c r="BE380" i="22"/>
  <c r="BF380" i="22"/>
  <c r="BG380" i="22"/>
  <c r="BH380" i="22"/>
  <c r="BI380" i="22"/>
  <c r="BJ380" i="22"/>
  <c r="BK380" i="22"/>
  <c r="BL380" i="22"/>
  <c r="BM380" i="22"/>
  <c r="BN380" i="22"/>
  <c r="BO380" i="22"/>
  <c r="BP380" i="22"/>
  <c r="BQ380" i="22"/>
  <c r="BR380" i="22"/>
  <c r="BS380" i="22"/>
  <c r="BT380" i="22"/>
  <c r="BU380" i="22"/>
  <c r="BV380" i="22"/>
  <c r="BW380" i="22"/>
  <c r="BX380" i="22"/>
  <c r="BY380" i="22"/>
  <c r="BZ380" i="22"/>
  <c r="CA380" i="22"/>
  <c r="CB380" i="22"/>
  <c r="A381" i="22"/>
  <c r="L628" i="22" s="1"/>
  <c r="B381" i="22"/>
  <c r="C381" i="22"/>
  <c r="D381" i="22"/>
  <c r="E381" i="22"/>
  <c r="F381" i="22"/>
  <c r="G381" i="22"/>
  <c r="H381" i="22"/>
  <c r="I381" i="22"/>
  <c r="J381" i="22"/>
  <c r="K381" i="22"/>
  <c r="L381" i="22"/>
  <c r="M381" i="22"/>
  <c r="N381" i="22"/>
  <c r="O381" i="22"/>
  <c r="P381" i="22"/>
  <c r="Q381" i="22"/>
  <c r="R381" i="22"/>
  <c r="S381" i="22"/>
  <c r="T381" i="22"/>
  <c r="U381" i="22"/>
  <c r="V381" i="22"/>
  <c r="W381" i="22"/>
  <c r="X381" i="22"/>
  <c r="Y381" i="22"/>
  <c r="Z381" i="22"/>
  <c r="AA381" i="22"/>
  <c r="AB381" i="22"/>
  <c r="AC381" i="22"/>
  <c r="AD381" i="22"/>
  <c r="AE381" i="22"/>
  <c r="AF381" i="22"/>
  <c r="AG381" i="22"/>
  <c r="AH381" i="22"/>
  <c r="AI381" i="22"/>
  <c r="AJ381" i="22"/>
  <c r="AK381" i="22"/>
  <c r="AL381" i="22"/>
  <c r="AM381" i="22"/>
  <c r="AN381" i="22"/>
  <c r="AO381" i="22"/>
  <c r="AP381" i="22"/>
  <c r="AQ381" i="22"/>
  <c r="AR381" i="22"/>
  <c r="AS381" i="22"/>
  <c r="AT381" i="22"/>
  <c r="AU381" i="22"/>
  <c r="AV381" i="22"/>
  <c r="AW381" i="22"/>
  <c r="AX381" i="22"/>
  <c r="AY381" i="22"/>
  <c r="AZ381" i="22"/>
  <c r="BA381" i="22"/>
  <c r="BB381" i="22"/>
  <c r="BC381" i="22"/>
  <c r="BD381" i="22"/>
  <c r="BE381" i="22"/>
  <c r="BF381" i="22"/>
  <c r="BG381" i="22"/>
  <c r="BH381" i="22"/>
  <c r="BI381" i="22"/>
  <c r="BJ381" i="22"/>
  <c r="BK381" i="22"/>
  <c r="BL381" i="22"/>
  <c r="BM381" i="22"/>
  <c r="BN381" i="22"/>
  <c r="BO381" i="22"/>
  <c r="BP381" i="22"/>
  <c r="BQ381" i="22"/>
  <c r="BR381" i="22"/>
  <c r="BS381" i="22"/>
  <c r="BT381" i="22"/>
  <c r="BU381" i="22"/>
  <c r="BV381" i="22"/>
  <c r="BW381" i="22"/>
  <c r="BX381" i="22"/>
  <c r="BY381" i="22"/>
  <c r="BZ381" i="22"/>
  <c r="CA381" i="22"/>
  <c r="CB381" i="22"/>
  <c r="A382" i="22"/>
  <c r="L629" i="22" s="1"/>
  <c r="B382" i="22"/>
  <c r="C382" i="22"/>
  <c r="D382" i="22"/>
  <c r="E382" i="22"/>
  <c r="F382" i="22"/>
  <c r="G382" i="22"/>
  <c r="H382" i="22"/>
  <c r="I382" i="22"/>
  <c r="J382" i="22"/>
  <c r="K382" i="22"/>
  <c r="L382" i="22"/>
  <c r="M382" i="22"/>
  <c r="N382" i="22"/>
  <c r="O382" i="22"/>
  <c r="P382" i="22"/>
  <c r="Q382" i="22"/>
  <c r="R382" i="22"/>
  <c r="S382" i="22"/>
  <c r="T382" i="22"/>
  <c r="U382" i="22"/>
  <c r="V382" i="22"/>
  <c r="W382" i="22"/>
  <c r="X382" i="22"/>
  <c r="Y382" i="22"/>
  <c r="Z382" i="22"/>
  <c r="AA382" i="22"/>
  <c r="AB382" i="22"/>
  <c r="AC382" i="22"/>
  <c r="AD382" i="22"/>
  <c r="AE382" i="22"/>
  <c r="AF382" i="22"/>
  <c r="AG382" i="22"/>
  <c r="AH382" i="22"/>
  <c r="AI382" i="22"/>
  <c r="AJ382" i="22"/>
  <c r="AK382" i="22"/>
  <c r="AL382" i="22"/>
  <c r="AM382" i="22"/>
  <c r="AN382" i="22"/>
  <c r="AO382" i="22"/>
  <c r="AP382" i="22"/>
  <c r="AQ382" i="22"/>
  <c r="AR382" i="22"/>
  <c r="AS382" i="22"/>
  <c r="AT382" i="22"/>
  <c r="AU382" i="22"/>
  <c r="AV382" i="22"/>
  <c r="AW382" i="22"/>
  <c r="AX382" i="22"/>
  <c r="AY382" i="22"/>
  <c r="AZ382" i="22"/>
  <c r="BA382" i="22"/>
  <c r="BB382" i="22"/>
  <c r="BC382" i="22"/>
  <c r="BD382" i="22"/>
  <c r="BE382" i="22"/>
  <c r="BF382" i="22"/>
  <c r="BG382" i="22"/>
  <c r="BH382" i="22"/>
  <c r="BI382" i="22"/>
  <c r="BJ382" i="22"/>
  <c r="BK382" i="22"/>
  <c r="BL382" i="22"/>
  <c r="BM382" i="22"/>
  <c r="BN382" i="22"/>
  <c r="BO382" i="22"/>
  <c r="BP382" i="22"/>
  <c r="BQ382" i="22"/>
  <c r="BR382" i="22"/>
  <c r="BS382" i="22"/>
  <c r="BT382" i="22"/>
  <c r="BU382" i="22"/>
  <c r="BV382" i="22"/>
  <c r="BW382" i="22"/>
  <c r="BX382" i="22"/>
  <c r="BY382" i="22"/>
  <c r="BZ382" i="22"/>
  <c r="CA382" i="22"/>
  <c r="CB382" i="22"/>
  <c r="A383" i="22"/>
  <c r="L630" i="22" s="1"/>
  <c r="B383" i="22"/>
  <c r="C383" i="22"/>
  <c r="D383" i="22"/>
  <c r="E383" i="22"/>
  <c r="F383" i="22"/>
  <c r="G383" i="22"/>
  <c r="H383" i="22"/>
  <c r="I383" i="22"/>
  <c r="J383" i="22"/>
  <c r="K383" i="22"/>
  <c r="L383" i="22"/>
  <c r="M383" i="22"/>
  <c r="N383" i="22"/>
  <c r="O383" i="22"/>
  <c r="P383" i="22"/>
  <c r="Q383" i="22"/>
  <c r="R383" i="22"/>
  <c r="S383" i="22"/>
  <c r="T383" i="22"/>
  <c r="U383" i="22"/>
  <c r="V383" i="22"/>
  <c r="W383" i="22"/>
  <c r="X383" i="22"/>
  <c r="Y383" i="22"/>
  <c r="Z383" i="22"/>
  <c r="AA383" i="22"/>
  <c r="AB383" i="22"/>
  <c r="AC383" i="22"/>
  <c r="AD383" i="22"/>
  <c r="AE383" i="22"/>
  <c r="AF383" i="22"/>
  <c r="AG383" i="22"/>
  <c r="AH383" i="22"/>
  <c r="AI383" i="22"/>
  <c r="AJ383" i="22"/>
  <c r="AK383" i="22"/>
  <c r="AL383" i="22"/>
  <c r="AM383" i="22"/>
  <c r="AN383" i="22"/>
  <c r="AO383" i="22"/>
  <c r="AP383" i="22"/>
  <c r="AQ383" i="22"/>
  <c r="AR383" i="22"/>
  <c r="AS383" i="22"/>
  <c r="AT383" i="22"/>
  <c r="AU383" i="22"/>
  <c r="AV383" i="22"/>
  <c r="AW383" i="22"/>
  <c r="AX383" i="22"/>
  <c r="AY383" i="22"/>
  <c r="AZ383" i="22"/>
  <c r="BA383" i="22"/>
  <c r="BB383" i="22"/>
  <c r="BC383" i="22"/>
  <c r="BD383" i="22"/>
  <c r="BE383" i="22"/>
  <c r="BF383" i="22"/>
  <c r="BG383" i="22"/>
  <c r="BH383" i="22"/>
  <c r="BI383" i="22"/>
  <c r="BJ383" i="22"/>
  <c r="BK383" i="22"/>
  <c r="BL383" i="22"/>
  <c r="BM383" i="22"/>
  <c r="BN383" i="22"/>
  <c r="BO383" i="22"/>
  <c r="BP383" i="22"/>
  <c r="BQ383" i="22"/>
  <c r="BR383" i="22"/>
  <c r="BS383" i="22"/>
  <c r="BT383" i="22"/>
  <c r="BU383" i="22"/>
  <c r="BV383" i="22"/>
  <c r="BW383" i="22"/>
  <c r="BX383" i="22"/>
  <c r="BY383" i="22"/>
  <c r="BZ383" i="22"/>
  <c r="CA383" i="22"/>
  <c r="CB383" i="22"/>
  <c r="A384" i="22"/>
  <c r="B384" i="22"/>
  <c r="C384" i="22"/>
  <c r="D384" i="22"/>
  <c r="E384" i="22"/>
  <c r="F384" i="22"/>
  <c r="G384" i="22"/>
  <c r="H384" i="22"/>
  <c r="I384" i="22"/>
  <c r="J384" i="22"/>
  <c r="K384" i="22"/>
  <c r="L384" i="22"/>
  <c r="M384" i="22"/>
  <c r="N384" i="22"/>
  <c r="O384" i="22"/>
  <c r="P384" i="22"/>
  <c r="Q384" i="22"/>
  <c r="R384" i="22"/>
  <c r="S384" i="22"/>
  <c r="T384" i="22"/>
  <c r="U384" i="22"/>
  <c r="V384" i="22"/>
  <c r="W384" i="22"/>
  <c r="X384" i="22"/>
  <c r="Y384" i="22"/>
  <c r="Z384" i="22"/>
  <c r="AA384" i="22"/>
  <c r="AB384" i="22"/>
  <c r="AC384" i="22"/>
  <c r="AD384" i="22"/>
  <c r="AE384" i="22"/>
  <c r="AF384" i="22"/>
  <c r="AG384" i="22"/>
  <c r="AH384" i="22"/>
  <c r="AI384" i="22"/>
  <c r="AJ384" i="22"/>
  <c r="AK384" i="22"/>
  <c r="AL384" i="22"/>
  <c r="AM384" i="22"/>
  <c r="AN384" i="22"/>
  <c r="AO384" i="22"/>
  <c r="AP384" i="22"/>
  <c r="AQ384" i="22"/>
  <c r="AR384" i="22"/>
  <c r="AS384" i="22"/>
  <c r="AT384" i="22"/>
  <c r="AU384" i="22"/>
  <c r="AV384" i="22"/>
  <c r="AW384" i="22"/>
  <c r="AX384" i="22"/>
  <c r="AY384" i="22"/>
  <c r="AZ384" i="22"/>
  <c r="BA384" i="22"/>
  <c r="BB384" i="22"/>
  <c r="BC384" i="22"/>
  <c r="BD384" i="22"/>
  <c r="BE384" i="22"/>
  <c r="BF384" i="22"/>
  <c r="BG384" i="22"/>
  <c r="BH384" i="22"/>
  <c r="BI384" i="22"/>
  <c r="BJ384" i="22"/>
  <c r="BK384" i="22"/>
  <c r="BL384" i="22"/>
  <c r="BM384" i="22"/>
  <c r="BN384" i="22"/>
  <c r="BO384" i="22"/>
  <c r="BP384" i="22"/>
  <c r="BQ384" i="22"/>
  <c r="BR384" i="22"/>
  <c r="BS384" i="22"/>
  <c r="BT384" i="22"/>
  <c r="BU384" i="22"/>
  <c r="BV384" i="22"/>
  <c r="BW384" i="22"/>
  <c r="BX384" i="22"/>
  <c r="BY384" i="22"/>
  <c r="BZ384" i="22"/>
  <c r="CA384" i="22"/>
  <c r="CB384" i="22"/>
  <c r="A385" i="22"/>
  <c r="B385" i="22"/>
  <c r="C385" i="22"/>
  <c r="D385" i="22"/>
  <c r="E385" i="22"/>
  <c r="F385" i="22"/>
  <c r="G385" i="22"/>
  <c r="H385" i="22"/>
  <c r="I385" i="22"/>
  <c r="J385" i="22"/>
  <c r="K385" i="22"/>
  <c r="L385" i="22"/>
  <c r="M385" i="22"/>
  <c r="N385" i="22"/>
  <c r="O385" i="22"/>
  <c r="P385" i="22"/>
  <c r="Q385" i="22"/>
  <c r="R385" i="22"/>
  <c r="S385" i="22"/>
  <c r="T385" i="22"/>
  <c r="U385" i="22"/>
  <c r="V385" i="22"/>
  <c r="W385" i="22"/>
  <c r="X385" i="22"/>
  <c r="Y385" i="22"/>
  <c r="Z385" i="22"/>
  <c r="AA385" i="22"/>
  <c r="AB385" i="22"/>
  <c r="AC385" i="22"/>
  <c r="AD385" i="22"/>
  <c r="AE385" i="22"/>
  <c r="AF385" i="22"/>
  <c r="AG385" i="22"/>
  <c r="AH385" i="22"/>
  <c r="AI385" i="22"/>
  <c r="AJ385" i="22"/>
  <c r="AK385" i="22"/>
  <c r="AL385" i="22"/>
  <c r="AM385" i="22"/>
  <c r="AN385" i="22"/>
  <c r="AO385" i="22"/>
  <c r="AP385" i="22"/>
  <c r="AQ385" i="22"/>
  <c r="AR385" i="22"/>
  <c r="AS385" i="22"/>
  <c r="AT385" i="22"/>
  <c r="AU385" i="22"/>
  <c r="AV385" i="22"/>
  <c r="AW385" i="22"/>
  <c r="AX385" i="22"/>
  <c r="AY385" i="22"/>
  <c r="AZ385" i="22"/>
  <c r="BA385" i="22"/>
  <c r="BB385" i="22"/>
  <c r="BC385" i="22"/>
  <c r="BD385" i="22"/>
  <c r="BE385" i="22"/>
  <c r="BF385" i="22"/>
  <c r="BG385" i="22"/>
  <c r="BH385" i="22"/>
  <c r="BI385" i="22"/>
  <c r="BJ385" i="22"/>
  <c r="BK385" i="22"/>
  <c r="BL385" i="22"/>
  <c r="BM385" i="22"/>
  <c r="BN385" i="22"/>
  <c r="BO385" i="22"/>
  <c r="BP385" i="22"/>
  <c r="BQ385" i="22"/>
  <c r="BR385" i="22"/>
  <c r="BS385" i="22"/>
  <c r="BT385" i="22"/>
  <c r="BU385" i="22"/>
  <c r="BV385" i="22"/>
  <c r="BW385" i="22"/>
  <c r="BX385" i="22"/>
  <c r="BY385" i="22"/>
  <c r="BZ385" i="22"/>
  <c r="CA385" i="22"/>
  <c r="CB385" i="22"/>
  <c r="A386" i="22"/>
  <c r="B386" i="22"/>
  <c r="C386" i="22"/>
  <c r="D386" i="22"/>
  <c r="E386" i="22"/>
  <c r="F386" i="22"/>
  <c r="G386" i="22"/>
  <c r="H386" i="22"/>
  <c r="I386" i="22"/>
  <c r="J386" i="22"/>
  <c r="K386" i="22"/>
  <c r="L386" i="22"/>
  <c r="M386" i="22"/>
  <c r="N386" i="22"/>
  <c r="O386" i="22"/>
  <c r="P386" i="22"/>
  <c r="Q386" i="22"/>
  <c r="R386" i="22"/>
  <c r="S386" i="22"/>
  <c r="T386" i="22"/>
  <c r="U386" i="22"/>
  <c r="V386" i="22"/>
  <c r="W386" i="22"/>
  <c r="X386" i="22"/>
  <c r="Y386" i="22"/>
  <c r="Z386" i="22"/>
  <c r="AA386" i="22"/>
  <c r="AB386" i="22"/>
  <c r="AC386" i="22"/>
  <c r="AD386" i="22"/>
  <c r="AE386" i="22"/>
  <c r="AF386" i="22"/>
  <c r="AG386" i="22"/>
  <c r="AH386" i="22"/>
  <c r="AI386" i="22"/>
  <c r="AJ386" i="22"/>
  <c r="AK386" i="22"/>
  <c r="AL386" i="22"/>
  <c r="AM386" i="22"/>
  <c r="AN386" i="22"/>
  <c r="AO386" i="22"/>
  <c r="AP386" i="22"/>
  <c r="AQ386" i="22"/>
  <c r="AR386" i="22"/>
  <c r="AS386" i="22"/>
  <c r="AT386" i="22"/>
  <c r="AU386" i="22"/>
  <c r="AV386" i="22"/>
  <c r="AW386" i="22"/>
  <c r="AX386" i="22"/>
  <c r="AY386" i="22"/>
  <c r="AZ386" i="22"/>
  <c r="BA386" i="22"/>
  <c r="BB386" i="22"/>
  <c r="BC386" i="22"/>
  <c r="BD386" i="22"/>
  <c r="BE386" i="22"/>
  <c r="BF386" i="22"/>
  <c r="BG386" i="22"/>
  <c r="BH386" i="22"/>
  <c r="BI386" i="22"/>
  <c r="BJ386" i="22"/>
  <c r="BK386" i="22"/>
  <c r="BL386" i="22"/>
  <c r="BM386" i="22"/>
  <c r="BN386" i="22"/>
  <c r="BO386" i="22"/>
  <c r="BP386" i="22"/>
  <c r="BQ386" i="22"/>
  <c r="BR386" i="22"/>
  <c r="BS386" i="22"/>
  <c r="BT386" i="22"/>
  <c r="BU386" i="22"/>
  <c r="BV386" i="22"/>
  <c r="BW386" i="22"/>
  <c r="BX386" i="22"/>
  <c r="BY386" i="22"/>
  <c r="BZ386" i="22"/>
  <c r="CA386" i="22"/>
  <c r="CB386" i="22"/>
  <c r="A387" i="22"/>
  <c r="B387" i="22"/>
  <c r="C387" i="22"/>
  <c r="D387" i="22"/>
  <c r="E387" i="22"/>
  <c r="F387" i="22"/>
  <c r="G387" i="22"/>
  <c r="H387" i="22"/>
  <c r="I387" i="22"/>
  <c r="J387" i="22"/>
  <c r="K387" i="22"/>
  <c r="L387" i="22"/>
  <c r="M387" i="22"/>
  <c r="N387" i="22"/>
  <c r="O387" i="22"/>
  <c r="P387" i="22"/>
  <c r="Q387" i="22"/>
  <c r="R387" i="22"/>
  <c r="S387" i="22"/>
  <c r="T387" i="22"/>
  <c r="U387" i="22"/>
  <c r="V387" i="22"/>
  <c r="W387" i="22"/>
  <c r="X387" i="22"/>
  <c r="Y387" i="22"/>
  <c r="Z387" i="22"/>
  <c r="AA387" i="22"/>
  <c r="AB387" i="22"/>
  <c r="AC387" i="22"/>
  <c r="AD387" i="22"/>
  <c r="AE387" i="22"/>
  <c r="AF387" i="22"/>
  <c r="AG387" i="22"/>
  <c r="AH387" i="22"/>
  <c r="AI387" i="22"/>
  <c r="AJ387" i="22"/>
  <c r="AK387" i="22"/>
  <c r="AL387" i="22"/>
  <c r="AM387" i="22"/>
  <c r="AN387" i="22"/>
  <c r="AO387" i="22"/>
  <c r="AP387" i="22"/>
  <c r="AQ387" i="22"/>
  <c r="AR387" i="22"/>
  <c r="AS387" i="22"/>
  <c r="AT387" i="22"/>
  <c r="AU387" i="22"/>
  <c r="AV387" i="22"/>
  <c r="AW387" i="22"/>
  <c r="AX387" i="22"/>
  <c r="AY387" i="22"/>
  <c r="AZ387" i="22"/>
  <c r="BA387" i="22"/>
  <c r="BB387" i="22"/>
  <c r="BC387" i="22"/>
  <c r="BD387" i="22"/>
  <c r="BE387" i="22"/>
  <c r="BF387" i="22"/>
  <c r="BG387" i="22"/>
  <c r="BH387" i="22"/>
  <c r="BI387" i="22"/>
  <c r="BJ387" i="22"/>
  <c r="BK387" i="22"/>
  <c r="BL387" i="22"/>
  <c r="BM387" i="22"/>
  <c r="BN387" i="22"/>
  <c r="BO387" i="22"/>
  <c r="BP387" i="22"/>
  <c r="BQ387" i="22"/>
  <c r="BR387" i="22"/>
  <c r="BS387" i="22"/>
  <c r="BT387" i="22"/>
  <c r="BU387" i="22"/>
  <c r="BV387" i="22"/>
  <c r="BW387" i="22"/>
  <c r="BX387" i="22"/>
  <c r="BY387" i="22"/>
  <c r="BZ387" i="22"/>
  <c r="CA387" i="22"/>
  <c r="CB387" i="22"/>
  <c r="A388" i="22"/>
  <c r="B388" i="22"/>
  <c r="C388" i="22"/>
  <c r="D388" i="22"/>
  <c r="E388" i="22"/>
  <c r="F388" i="22"/>
  <c r="G388" i="22"/>
  <c r="H388" i="22"/>
  <c r="I388" i="22"/>
  <c r="J388" i="22"/>
  <c r="K388" i="22"/>
  <c r="L388" i="22"/>
  <c r="M388" i="22"/>
  <c r="N388" i="22"/>
  <c r="O388" i="22"/>
  <c r="P388" i="22"/>
  <c r="Q388" i="22"/>
  <c r="R388" i="22"/>
  <c r="S388" i="22"/>
  <c r="T388" i="22"/>
  <c r="U388" i="22"/>
  <c r="V388" i="22"/>
  <c r="W388" i="22"/>
  <c r="X388" i="22"/>
  <c r="Y388" i="22"/>
  <c r="Z388" i="22"/>
  <c r="AA388" i="22"/>
  <c r="AB388" i="22"/>
  <c r="AC388" i="22"/>
  <c r="AD388" i="22"/>
  <c r="AE388" i="22"/>
  <c r="AF388" i="22"/>
  <c r="AG388" i="22"/>
  <c r="AH388" i="22"/>
  <c r="AI388" i="22"/>
  <c r="AJ388" i="22"/>
  <c r="AK388" i="22"/>
  <c r="AL388" i="22"/>
  <c r="AM388" i="22"/>
  <c r="AN388" i="22"/>
  <c r="AO388" i="22"/>
  <c r="AP388" i="22"/>
  <c r="AQ388" i="22"/>
  <c r="AR388" i="22"/>
  <c r="AS388" i="22"/>
  <c r="AT388" i="22"/>
  <c r="AU388" i="22"/>
  <c r="AV388" i="22"/>
  <c r="AW388" i="22"/>
  <c r="AX388" i="22"/>
  <c r="AY388" i="22"/>
  <c r="AZ388" i="22"/>
  <c r="BA388" i="22"/>
  <c r="BB388" i="22"/>
  <c r="BC388" i="22"/>
  <c r="BD388" i="22"/>
  <c r="BE388" i="22"/>
  <c r="BF388" i="22"/>
  <c r="BG388" i="22"/>
  <c r="BH388" i="22"/>
  <c r="BI388" i="22"/>
  <c r="BJ388" i="22"/>
  <c r="BK388" i="22"/>
  <c r="BL388" i="22"/>
  <c r="BM388" i="22"/>
  <c r="BN388" i="22"/>
  <c r="BO388" i="22"/>
  <c r="BP388" i="22"/>
  <c r="BQ388" i="22"/>
  <c r="BR388" i="22"/>
  <c r="BS388" i="22"/>
  <c r="BT388" i="22"/>
  <c r="BU388" i="22"/>
  <c r="BV388" i="22"/>
  <c r="BW388" i="22"/>
  <c r="BX388" i="22"/>
  <c r="BY388" i="22"/>
  <c r="BZ388" i="22"/>
  <c r="CA388" i="22"/>
  <c r="CB388" i="22"/>
  <c r="A389" i="22"/>
  <c r="B389" i="22"/>
  <c r="C389" i="22"/>
  <c r="D389" i="22"/>
  <c r="E389" i="22"/>
  <c r="F389" i="22"/>
  <c r="G389" i="22"/>
  <c r="H389" i="22"/>
  <c r="I389" i="22"/>
  <c r="J389" i="22"/>
  <c r="K389" i="22"/>
  <c r="L389" i="22"/>
  <c r="M389" i="22"/>
  <c r="N389" i="22"/>
  <c r="O389" i="22"/>
  <c r="P389" i="22"/>
  <c r="Q389" i="22"/>
  <c r="R389" i="22"/>
  <c r="S389" i="22"/>
  <c r="T389" i="22"/>
  <c r="U389" i="22"/>
  <c r="V389" i="22"/>
  <c r="W389" i="22"/>
  <c r="X389" i="22"/>
  <c r="Y389" i="22"/>
  <c r="Z389" i="22"/>
  <c r="AA389" i="22"/>
  <c r="AB389" i="22"/>
  <c r="AC389" i="22"/>
  <c r="AD389" i="22"/>
  <c r="AE389" i="22"/>
  <c r="AF389" i="22"/>
  <c r="AG389" i="22"/>
  <c r="AH389" i="22"/>
  <c r="AI389" i="22"/>
  <c r="AJ389" i="22"/>
  <c r="AK389" i="22"/>
  <c r="AL389" i="22"/>
  <c r="AM389" i="22"/>
  <c r="AN389" i="22"/>
  <c r="AO389" i="22"/>
  <c r="AP389" i="22"/>
  <c r="AQ389" i="22"/>
  <c r="AR389" i="22"/>
  <c r="AS389" i="22"/>
  <c r="AT389" i="22"/>
  <c r="AU389" i="22"/>
  <c r="AV389" i="22"/>
  <c r="AW389" i="22"/>
  <c r="AX389" i="22"/>
  <c r="AY389" i="22"/>
  <c r="AZ389" i="22"/>
  <c r="BA389" i="22"/>
  <c r="BB389" i="22"/>
  <c r="BC389" i="22"/>
  <c r="BD389" i="22"/>
  <c r="BE389" i="22"/>
  <c r="BF389" i="22"/>
  <c r="BG389" i="22"/>
  <c r="BH389" i="22"/>
  <c r="BI389" i="22"/>
  <c r="BJ389" i="22"/>
  <c r="BK389" i="22"/>
  <c r="BL389" i="22"/>
  <c r="BM389" i="22"/>
  <c r="BN389" i="22"/>
  <c r="BO389" i="22"/>
  <c r="BP389" i="22"/>
  <c r="BQ389" i="22"/>
  <c r="BR389" i="22"/>
  <c r="BS389" i="22"/>
  <c r="BT389" i="22"/>
  <c r="BU389" i="22"/>
  <c r="BV389" i="22"/>
  <c r="BW389" i="22"/>
  <c r="BX389" i="22"/>
  <c r="BY389" i="22"/>
  <c r="BZ389" i="22"/>
  <c r="CA389" i="22"/>
  <c r="CB389" i="22"/>
  <c r="A390" i="22"/>
  <c r="B390" i="22"/>
  <c r="C390" i="22"/>
  <c r="D390" i="22"/>
  <c r="E390" i="22"/>
  <c r="F390" i="22"/>
  <c r="G390" i="22"/>
  <c r="H390" i="22"/>
  <c r="I390" i="22"/>
  <c r="J390" i="22"/>
  <c r="K390" i="22"/>
  <c r="L390" i="22"/>
  <c r="M390" i="22"/>
  <c r="N390" i="22"/>
  <c r="O390" i="22"/>
  <c r="P390" i="22"/>
  <c r="Q390" i="22"/>
  <c r="R390" i="22"/>
  <c r="S390" i="22"/>
  <c r="T390" i="22"/>
  <c r="U390" i="22"/>
  <c r="V390" i="22"/>
  <c r="W390" i="22"/>
  <c r="X390" i="22"/>
  <c r="Y390" i="22"/>
  <c r="Z390" i="22"/>
  <c r="AA390" i="22"/>
  <c r="AB390" i="22"/>
  <c r="AC390" i="22"/>
  <c r="AD390" i="22"/>
  <c r="AE390" i="22"/>
  <c r="AF390" i="22"/>
  <c r="AG390" i="22"/>
  <c r="AH390" i="22"/>
  <c r="AI390" i="22"/>
  <c r="AJ390" i="22"/>
  <c r="AK390" i="22"/>
  <c r="AL390" i="22"/>
  <c r="AM390" i="22"/>
  <c r="AN390" i="22"/>
  <c r="AO390" i="22"/>
  <c r="AP390" i="22"/>
  <c r="AQ390" i="22"/>
  <c r="AR390" i="22"/>
  <c r="AS390" i="22"/>
  <c r="AT390" i="22"/>
  <c r="AU390" i="22"/>
  <c r="AV390" i="22"/>
  <c r="AW390" i="22"/>
  <c r="AX390" i="22"/>
  <c r="AY390" i="22"/>
  <c r="AZ390" i="22"/>
  <c r="BA390" i="22"/>
  <c r="BB390" i="22"/>
  <c r="BC390" i="22"/>
  <c r="BD390" i="22"/>
  <c r="BE390" i="22"/>
  <c r="BF390" i="22"/>
  <c r="BG390" i="22"/>
  <c r="BH390" i="22"/>
  <c r="BI390" i="22"/>
  <c r="BJ390" i="22"/>
  <c r="BK390" i="22"/>
  <c r="BL390" i="22"/>
  <c r="BM390" i="22"/>
  <c r="BN390" i="22"/>
  <c r="BO390" i="22"/>
  <c r="BP390" i="22"/>
  <c r="BQ390" i="22"/>
  <c r="BR390" i="22"/>
  <c r="BS390" i="22"/>
  <c r="BT390" i="22"/>
  <c r="BU390" i="22"/>
  <c r="BV390" i="22"/>
  <c r="BW390" i="22"/>
  <c r="BX390" i="22"/>
  <c r="BY390" i="22"/>
  <c r="BZ390" i="22"/>
  <c r="CA390" i="22"/>
  <c r="CB390" i="22"/>
  <c r="A391" i="22"/>
  <c r="B391" i="22"/>
  <c r="C391" i="22"/>
  <c r="D391" i="22"/>
  <c r="E391" i="22"/>
  <c r="F391" i="22"/>
  <c r="G391" i="22"/>
  <c r="H391" i="22"/>
  <c r="I391" i="22"/>
  <c r="J391" i="22"/>
  <c r="K391" i="22"/>
  <c r="L391" i="22"/>
  <c r="M391" i="22"/>
  <c r="N391" i="22"/>
  <c r="O391" i="22"/>
  <c r="P391" i="22"/>
  <c r="Q391" i="22"/>
  <c r="R391" i="22"/>
  <c r="S391" i="22"/>
  <c r="T391" i="22"/>
  <c r="U391" i="22"/>
  <c r="V391" i="22"/>
  <c r="W391" i="22"/>
  <c r="X391" i="22"/>
  <c r="Y391" i="22"/>
  <c r="Z391" i="22"/>
  <c r="AA391" i="22"/>
  <c r="AB391" i="22"/>
  <c r="AC391" i="22"/>
  <c r="AD391" i="22"/>
  <c r="AE391" i="22"/>
  <c r="AF391" i="22"/>
  <c r="AG391" i="22"/>
  <c r="AH391" i="22"/>
  <c r="AI391" i="22"/>
  <c r="AJ391" i="22"/>
  <c r="AK391" i="22"/>
  <c r="AL391" i="22"/>
  <c r="AM391" i="22"/>
  <c r="AN391" i="22"/>
  <c r="AO391" i="22"/>
  <c r="AP391" i="22"/>
  <c r="AQ391" i="22"/>
  <c r="AR391" i="22"/>
  <c r="AS391" i="22"/>
  <c r="AT391" i="22"/>
  <c r="AU391" i="22"/>
  <c r="AV391" i="22"/>
  <c r="AW391" i="22"/>
  <c r="AX391" i="22"/>
  <c r="AY391" i="22"/>
  <c r="AZ391" i="22"/>
  <c r="BA391" i="22"/>
  <c r="BB391" i="22"/>
  <c r="BC391" i="22"/>
  <c r="BD391" i="22"/>
  <c r="BE391" i="22"/>
  <c r="BF391" i="22"/>
  <c r="BG391" i="22"/>
  <c r="BH391" i="22"/>
  <c r="BI391" i="22"/>
  <c r="BJ391" i="22"/>
  <c r="BK391" i="22"/>
  <c r="BL391" i="22"/>
  <c r="BM391" i="22"/>
  <c r="BN391" i="22"/>
  <c r="BO391" i="22"/>
  <c r="BP391" i="22"/>
  <c r="BQ391" i="22"/>
  <c r="BR391" i="22"/>
  <c r="BS391" i="22"/>
  <c r="BT391" i="22"/>
  <c r="BU391" i="22"/>
  <c r="BV391" i="22"/>
  <c r="BW391" i="22"/>
  <c r="BX391" i="22"/>
  <c r="BY391" i="22"/>
  <c r="BZ391" i="22"/>
  <c r="CA391" i="22"/>
  <c r="CB391" i="22"/>
  <c r="A392" i="22"/>
  <c r="B392" i="22"/>
  <c r="C392" i="22"/>
  <c r="D392" i="22"/>
  <c r="E392" i="22"/>
  <c r="F392" i="22"/>
  <c r="G392" i="22"/>
  <c r="H392" i="22"/>
  <c r="I392" i="22"/>
  <c r="J392" i="22"/>
  <c r="K392" i="22"/>
  <c r="L392" i="22"/>
  <c r="M392" i="22"/>
  <c r="N392" i="22"/>
  <c r="O392" i="22"/>
  <c r="P392" i="22"/>
  <c r="Q392" i="22"/>
  <c r="R392" i="22"/>
  <c r="S392" i="22"/>
  <c r="T392" i="22"/>
  <c r="U392" i="22"/>
  <c r="V392" i="22"/>
  <c r="W392" i="22"/>
  <c r="X392" i="22"/>
  <c r="Y392" i="22"/>
  <c r="Z392" i="22"/>
  <c r="AA392" i="22"/>
  <c r="AB392" i="22"/>
  <c r="AC392" i="22"/>
  <c r="AD392" i="22"/>
  <c r="AE392" i="22"/>
  <c r="AF392" i="22"/>
  <c r="AG392" i="22"/>
  <c r="AH392" i="22"/>
  <c r="AI392" i="22"/>
  <c r="AJ392" i="22"/>
  <c r="AK392" i="22"/>
  <c r="AL392" i="22"/>
  <c r="AM392" i="22"/>
  <c r="AN392" i="22"/>
  <c r="AO392" i="22"/>
  <c r="AP392" i="22"/>
  <c r="AQ392" i="22"/>
  <c r="AR392" i="22"/>
  <c r="AS392" i="22"/>
  <c r="AT392" i="22"/>
  <c r="AU392" i="22"/>
  <c r="AV392" i="22"/>
  <c r="AW392" i="22"/>
  <c r="AX392" i="22"/>
  <c r="AY392" i="22"/>
  <c r="AZ392" i="22"/>
  <c r="BA392" i="22"/>
  <c r="BB392" i="22"/>
  <c r="BC392" i="22"/>
  <c r="BD392" i="22"/>
  <c r="BE392" i="22"/>
  <c r="BF392" i="22"/>
  <c r="BG392" i="22"/>
  <c r="BH392" i="22"/>
  <c r="BI392" i="22"/>
  <c r="BJ392" i="22"/>
  <c r="BK392" i="22"/>
  <c r="BL392" i="22"/>
  <c r="BM392" i="22"/>
  <c r="BN392" i="22"/>
  <c r="BO392" i="22"/>
  <c r="BP392" i="22"/>
  <c r="BQ392" i="22"/>
  <c r="BR392" i="22"/>
  <c r="BS392" i="22"/>
  <c r="BT392" i="22"/>
  <c r="BU392" i="22"/>
  <c r="BV392" i="22"/>
  <c r="BW392" i="22"/>
  <c r="BX392" i="22"/>
  <c r="BY392" i="22"/>
  <c r="BZ392" i="22"/>
  <c r="CA392" i="22"/>
  <c r="CB392" i="22"/>
  <c r="A393" i="22"/>
  <c r="B393" i="22"/>
  <c r="C393" i="22"/>
  <c r="D393" i="22"/>
  <c r="E393" i="22"/>
  <c r="F393" i="22"/>
  <c r="G393" i="22"/>
  <c r="H393" i="22"/>
  <c r="I393" i="22"/>
  <c r="J393" i="22"/>
  <c r="K393" i="22"/>
  <c r="L393" i="22"/>
  <c r="M393" i="22"/>
  <c r="N393" i="22"/>
  <c r="O393" i="22"/>
  <c r="P393" i="22"/>
  <c r="Q393" i="22"/>
  <c r="R393" i="22"/>
  <c r="S393" i="22"/>
  <c r="T393" i="22"/>
  <c r="U393" i="22"/>
  <c r="V393" i="22"/>
  <c r="W393" i="22"/>
  <c r="X393" i="22"/>
  <c r="Y393" i="22"/>
  <c r="Z393" i="22"/>
  <c r="AA393" i="22"/>
  <c r="AB393" i="22"/>
  <c r="AC393" i="22"/>
  <c r="AD393" i="22"/>
  <c r="AE393" i="22"/>
  <c r="AF393" i="22"/>
  <c r="AG393" i="22"/>
  <c r="AH393" i="22"/>
  <c r="AI393" i="22"/>
  <c r="AJ393" i="22"/>
  <c r="AK393" i="22"/>
  <c r="AL393" i="22"/>
  <c r="AM393" i="22"/>
  <c r="AN393" i="22"/>
  <c r="AO393" i="22"/>
  <c r="AP393" i="22"/>
  <c r="AQ393" i="22"/>
  <c r="AR393" i="22"/>
  <c r="AS393" i="22"/>
  <c r="AT393" i="22"/>
  <c r="AU393" i="22"/>
  <c r="AV393" i="22"/>
  <c r="AW393" i="22"/>
  <c r="AX393" i="22"/>
  <c r="AY393" i="22"/>
  <c r="AZ393" i="22"/>
  <c r="BA393" i="22"/>
  <c r="BB393" i="22"/>
  <c r="BC393" i="22"/>
  <c r="BD393" i="22"/>
  <c r="BE393" i="22"/>
  <c r="BF393" i="22"/>
  <c r="BG393" i="22"/>
  <c r="BH393" i="22"/>
  <c r="BI393" i="22"/>
  <c r="BJ393" i="22"/>
  <c r="BK393" i="22"/>
  <c r="BL393" i="22"/>
  <c r="BM393" i="22"/>
  <c r="BN393" i="22"/>
  <c r="BO393" i="22"/>
  <c r="BP393" i="22"/>
  <c r="BQ393" i="22"/>
  <c r="BR393" i="22"/>
  <c r="BS393" i="22"/>
  <c r="BT393" i="22"/>
  <c r="BU393" i="22"/>
  <c r="BV393" i="22"/>
  <c r="BW393" i="22"/>
  <c r="BX393" i="22"/>
  <c r="BY393" i="22"/>
  <c r="BZ393" i="22"/>
  <c r="CA393" i="22"/>
  <c r="CB393" i="22"/>
  <c r="A394" i="22"/>
  <c r="B394" i="22"/>
  <c r="C394" i="22"/>
  <c r="D394" i="22"/>
  <c r="E394" i="22"/>
  <c r="F394" i="22"/>
  <c r="G394" i="22"/>
  <c r="H394" i="22"/>
  <c r="I394" i="22"/>
  <c r="J394" i="22"/>
  <c r="K394" i="22"/>
  <c r="L394" i="22"/>
  <c r="M394" i="22"/>
  <c r="N394" i="22"/>
  <c r="O394" i="22"/>
  <c r="P394" i="22"/>
  <c r="Q394" i="22"/>
  <c r="R394" i="22"/>
  <c r="S394" i="22"/>
  <c r="T394" i="22"/>
  <c r="U394" i="22"/>
  <c r="V394" i="22"/>
  <c r="W394" i="22"/>
  <c r="X394" i="22"/>
  <c r="Y394" i="22"/>
  <c r="Z394" i="22"/>
  <c r="AA394" i="22"/>
  <c r="AB394" i="22"/>
  <c r="AC394" i="22"/>
  <c r="AD394" i="22"/>
  <c r="AE394" i="22"/>
  <c r="AF394" i="22"/>
  <c r="AG394" i="22"/>
  <c r="AH394" i="22"/>
  <c r="AI394" i="22"/>
  <c r="AJ394" i="22"/>
  <c r="AK394" i="22"/>
  <c r="AL394" i="22"/>
  <c r="AM394" i="22"/>
  <c r="AN394" i="22"/>
  <c r="AO394" i="22"/>
  <c r="AP394" i="22"/>
  <c r="AQ394" i="22"/>
  <c r="AR394" i="22"/>
  <c r="AS394" i="22"/>
  <c r="AT394" i="22"/>
  <c r="AU394" i="22"/>
  <c r="AV394" i="22"/>
  <c r="AW394" i="22"/>
  <c r="AX394" i="22"/>
  <c r="AY394" i="22"/>
  <c r="AZ394" i="22"/>
  <c r="BA394" i="22"/>
  <c r="BB394" i="22"/>
  <c r="BC394" i="22"/>
  <c r="BD394" i="22"/>
  <c r="BE394" i="22"/>
  <c r="BF394" i="22"/>
  <c r="BG394" i="22"/>
  <c r="BH394" i="22"/>
  <c r="BI394" i="22"/>
  <c r="BJ394" i="22"/>
  <c r="BK394" i="22"/>
  <c r="BL394" i="22"/>
  <c r="BM394" i="22"/>
  <c r="BN394" i="22"/>
  <c r="BO394" i="22"/>
  <c r="BP394" i="22"/>
  <c r="BQ394" i="22"/>
  <c r="BR394" i="22"/>
  <c r="BS394" i="22"/>
  <c r="BT394" i="22"/>
  <c r="BU394" i="22"/>
  <c r="BV394" i="22"/>
  <c r="BW394" i="22"/>
  <c r="BX394" i="22"/>
  <c r="BY394" i="22"/>
  <c r="BZ394" i="22"/>
  <c r="CA394" i="22"/>
  <c r="CB394" i="22"/>
  <c r="A395" i="22"/>
  <c r="B395" i="22"/>
  <c r="C395" i="22"/>
  <c r="D395" i="22"/>
  <c r="E395" i="22"/>
  <c r="F395" i="22"/>
  <c r="G395" i="22"/>
  <c r="H395" i="22"/>
  <c r="I395" i="22"/>
  <c r="J395" i="22"/>
  <c r="K395" i="22"/>
  <c r="L395" i="22"/>
  <c r="M395" i="22"/>
  <c r="N395" i="22"/>
  <c r="O395" i="22"/>
  <c r="P395" i="22"/>
  <c r="Q395" i="22"/>
  <c r="R395" i="22"/>
  <c r="S395" i="22"/>
  <c r="T395" i="22"/>
  <c r="U395" i="22"/>
  <c r="V395" i="22"/>
  <c r="W395" i="22"/>
  <c r="X395" i="22"/>
  <c r="Y395" i="22"/>
  <c r="Z395" i="22"/>
  <c r="AA395" i="22"/>
  <c r="AB395" i="22"/>
  <c r="AC395" i="22"/>
  <c r="AD395" i="22"/>
  <c r="AE395" i="22"/>
  <c r="AF395" i="22"/>
  <c r="AG395" i="22"/>
  <c r="AH395" i="22"/>
  <c r="AI395" i="22"/>
  <c r="AJ395" i="22"/>
  <c r="AK395" i="22"/>
  <c r="AL395" i="22"/>
  <c r="AM395" i="22"/>
  <c r="AN395" i="22"/>
  <c r="AO395" i="22"/>
  <c r="AP395" i="22"/>
  <c r="AQ395" i="22"/>
  <c r="AR395" i="22"/>
  <c r="AS395" i="22"/>
  <c r="AT395" i="22"/>
  <c r="AU395" i="22"/>
  <c r="AV395" i="22"/>
  <c r="AW395" i="22"/>
  <c r="AX395" i="22"/>
  <c r="AY395" i="22"/>
  <c r="AZ395" i="22"/>
  <c r="BA395" i="22"/>
  <c r="BB395" i="22"/>
  <c r="BC395" i="22"/>
  <c r="BD395" i="22"/>
  <c r="BE395" i="22"/>
  <c r="BF395" i="22"/>
  <c r="BG395" i="22"/>
  <c r="BH395" i="22"/>
  <c r="BI395" i="22"/>
  <c r="BJ395" i="22"/>
  <c r="BK395" i="22"/>
  <c r="BL395" i="22"/>
  <c r="BM395" i="22"/>
  <c r="BN395" i="22"/>
  <c r="BO395" i="22"/>
  <c r="BP395" i="22"/>
  <c r="BQ395" i="22"/>
  <c r="BR395" i="22"/>
  <c r="BS395" i="22"/>
  <c r="BT395" i="22"/>
  <c r="BU395" i="22"/>
  <c r="BV395" i="22"/>
  <c r="BW395" i="22"/>
  <c r="BX395" i="22"/>
  <c r="BY395" i="22"/>
  <c r="BZ395" i="22"/>
  <c r="CA395" i="22"/>
  <c r="CB395" i="22"/>
  <c r="A396" i="22"/>
  <c r="B396" i="22"/>
  <c r="C396" i="22"/>
  <c r="D396" i="22"/>
  <c r="E396" i="22"/>
  <c r="F396" i="22"/>
  <c r="G396" i="22"/>
  <c r="H396" i="22"/>
  <c r="I396" i="22"/>
  <c r="J396" i="22"/>
  <c r="K396" i="22"/>
  <c r="L396" i="22"/>
  <c r="M396" i="22"/>
  <c r="N396" i="22"/>
  <c r="O396" i="22"/>
  <c r="P396" i="22"/>
  <c r="Q396" i="22"/>
  <c r="R396" i="22"/>
  <c r="S396" i="22"/>
  <c r="T396" i="22"/>
  <c r="U396" i="22"/>
  <c r="V396" i="22"/>
  <c r="W396" i="22"/>
  <c r="X396" i="22"/>
  <c r="Y396" i="22"/>
  <c r="Z396" i="22"/>
  <c r="AA396" i="22"/>
  <c r="AB396" i="22"/>
  <c r="AC396" i="22"/>
  <c r="AD396" i="22"/>
  <c r="AE396" i="22"/>
  <c r="AF396" i="22"/>
  <c r="AG396" i="22"/>
  <c r="AH396" i="22"/>
  <c r="AI396" i="22"/>
  <c r="AJ396" i="22"/>
  <c r="AK396" i="22"/>
  <c r="AL396" i="22"/>
  <c r="AM396" i="22"/>
  <c r="AN396" i="22"/>
  <c r="AO396" i="22"/>
  <c r="AP396" i="22"/>
  <c r="AQ396" i="22"/>
  <c r="AR396" i="22"/>
  <c r="AS396" i="22"/>
  <c r="AT396" i="22"/>
  <c r="AU396" i="22"/>
  <c r="AV396" i="22"/>
  <c r="AW396" i="22"/>
  <c r="AX396" i="22"/>
  <c r="AY396" i="22"/>
  <c r="AZ396" i="22"/>
  <c r="BA396" i="22"/>
  <c r="BB396" i="22"/>
  <c r="BC396" i="22"/>
  <c r="BD396" i="22"/>
  <c r="BE396" i="22"/>
  <c r="BF396" i="22"/>
  <c r="BG396" i="22"/>
  <c r="BH396" i="22"/>
  <c r="BI396" i="22"/>
  <c r="BJ396" i="22"/>
  <c r="BK396" i="22"/>
  <c r="BL396" i="22"/>
  <c r="BM396" i="22"/>
  <c r="BN396" i="22"/>
  <c r="AK340" i="22"/>
  <c r="AL340" i="22"/>
  <c r="AM340" i="22"/>
  <c r="AN340" i="22"/>
  <c r="AO340" i="22"/>
  <c r="AP340" i="22"/>
  <c r="AQ340" i="22"/>
  <c r="AR340" i="22"/>
  <c r="AS340" i="22"/>
  <c r="AT340" i="22"/>
  <c r="AU340" i="22"/>
  <c r="AV340" i="22"/>
  <c r="AW340" i="22"/>
  <c r="AX340" i="22"/>
  <c r="AY340" i="22"/>
  <c r="AZ340" i="22"/>
  <c r="BA340" i="22"/>
  <c r="BB340" i="22"/>
  <c r="BC340" i="22"/>
  <c r="BD340" i="22"/>
  <c r="BE340" i="22"/>
  <c r="BF340" i="22"/>
  <c r="BG340" i="22"/>
  <c r="BH340" i="22"/>
  <c r="BI340" i="22"/>
  <c r="BJ340" i="22"/>
  <c r="BK340" i="22"/>
  <c r="BL340" i="22"/>
  <c r="BM340" i="22"/>
  <c r="BN340" i="22"/>
  <c r="BO340" i="22"/>
  <c r="BP340" i="22"/>
  <c r="BQ340" i="22"/>
  <c r="BR340" i="22"/>
  <c r="BS340" i="22"/>
  <c r="BT340" i="22"/>
  <c r="BU340" i="22"/>
  <c r="BV340" i="22"/>
  <c r="BW340" i="22"/>
  <c r="BX340" i="22"/>
  <c r="BY340" i="22"/>
  <c r="BZ340" i="22"/>
  <c r="CA340" i="22"/>
  <c r="CB340" i="22"/>
  <c r="A341" i="22"/>
  <c r="B341" i="22"/>
  <c r="C341" i="22"/>
  <c r="D341" i="22"/>
  <c r="E341" i="22"/>
  <c r="F341" i="22"/>
  <c r="G341" i="22"/>
  <c r="H341" i="22"/>
  <c r="I341" i="22"/>
  <c r="J341" i="22"/>
  <c r="K341" i="22"/>
  <c r="L341" i="22"/>
  <c r="M341" i="22"/>
  <c r="N341" i="22"/>
  <c r="O341" i="22"/>
  <c r="P341" i="22"/>
  <c r="Q341" i="22"/>
  <c r="R341" i="22"/>
  <c r="S341" i="22"/>
  <c r="T341" i="22"/>
  <c r="U341" i="22"/>
  <c r="V341" i="22"/>
  <c r="W341" i="22"/>
  <c r="X341" i="22"/>
  <c r="Y341" i="22"/>
  <c r="Z341" i="22"/>
  <c r="AA341" i="22"/>
  <c r="AB341" i="22"/>
  <c r="AC341" i="22"/>
  <c r="AD341" i="22"/>
  <c r="AE341" i="22"/>
  <c r="AF341" i="22"/>
  <c r="AG341" i="22"/>
  <c r="AH341" i="22"/>
  <c r="AI341" i="22"/>
  <c r="AJ341" i="22"/>
  <c r="AK341" i="22"/>
  <c r="AL341" i="22"/>
  <c r="AM341" i="22"/>
  <c r="AN341" i="22"/>
  <c r="AO341" i="22"/>
  <c r="AP341" i="22"/>
  <c r="AQ341" i="22"/>
  <c r="AR341" i="22"/>
  <c r="AS341" i="22"/>
  <c r="AT341" i="22"/>
  <c r="AU341" i="22"/>
  <c r="AV341" i="22"/>
  <c r="AW341" i="22"/>
  <c r="AX341" i="22"/>
  <c r="AY341" i="22"/>
  <c r="AZ341" i="22"/>
  <c r="BA341" i="22"/>
  <c r="BB341" i="22"/>
  <c r="BC341" i="22"/>
  <c r="BD341" i="22"/>
  <c r="BE341" i="22"/>
  <c r="BF341" i="22"/>
  <c r="BG341" i="22"/>
  <c r="BH341" i="22"/>
  <c r="BI341" i="22"/>
  <c r="BJ341" i="22"/>
  <c r="BK341" i="22"/>
  <c r="BL341" i="22"/>
  <c r="BM341" i="22"/>
  <c r="BN341" i="22"/>
  <c r="BO341" i="22"/>
  <c r="BP341" i="22"/>
  <c r="BQ341" i="22"/>
  <c r="BR341" i="22"/>
  <c r="BS341" i="22"/>
  <c r="BT341" i="22"/>
  <c r="BU341" i="22"/>
  <c r="BV341" i="22"/>
  <c r="BW341" i="22"/>
  <c r="BX341" i="22"/>
  <c r="BY341" i="22"/>
  <c r="BZ341" i="22"/>
  <c r="CA341" i="22"/>
  <c r="CB341" i="22"/>
  <c r="A342" i="22"/>
  <c r="B342" i="22"/>
  <c r="C342" i="22"/>
  <c r="D342" i="22"/>
  <c r="E342" i="22"/>
  <c r="F342" i="22"/>
  <c r="G342" i="22"/>
  <c r="H342" i="22"/>
  <c r="I342" i="22"/>
  <c r="J342" i="22"/>
  <c r="K342" i="22"/>
  <c r="L342" i="22"/>
  <c r="M342" i="22"/>
  <c r="N342" i="22"/>
  <c r="O342" i="22"/>
  <c r="P342" i="22"/>
  <c r="Q342" i="22"/>
  <c r="R342" i="22"/>
  <c r="S342" i="22"/>
  <c r="T342" i="22"/>
  <c r="U342" i="22"/>
  <c r="V342" i="22"/>
  <c r="W342" i="22"/>
  <c r="X342" i="22"/>
  <c r="Y342" i="22"/>
  <c r="Z342" i="22"/>
  <c r="AA342" i="22"/>
  <c r="AB342" i="22"/>
  <c r="AC342" i="22"/>
  <c r="AD342" i="22"/>
  <c r="AE342" i="22"/>
  <c r="AF342" i="22"/>
  <c r="AG342" i="22"/>
  <c r="AH342" i="22"/>
  <c r="AI342" i="22"/>
  <c r="AJ342" i="22"/>
  <c r="AK342" i="22"/>
  <c r="AL342" i="22"/>
  <c r="AM342" i="22"/>
  <c r="AN342" i="22"/>
  <c r="AO342" i="22"/>
  <c r="AP342" i="22"/>
  <c r="AQ342" i="22"/>
  <c r="AR342" i="22"/>
  <c r="AS342" i="22"/>
  <c r="AT342" i="22"/>
  <c r="AU342" i="22"/>
  <c r="AV342" i="22"/>
  <c r="AW342" i="22"/>
  <c r="AX342" i="22"/>
  <c r="AY342" i="22"/>
  <c r="AZ342" i="22"/>
  <c r="BA342" i="22"/>
  <c r="BB342" i="22"/>
  <c r="BC342" i="22"/>
  <c r="BD342" i="22"/>
  <c r="BE342" i="22"/>
  <c r="BF342" i="22"/>
  <c r="BG342" i="22"/>
  <c r="BH342" i="22"/>
  <c r="BI342" i="22"/>
  <c r="BJ342" i="22"/>
  <c r="BK342" i="22"/>
  <c r="BL342" i="22"/>
  <c r="BM342" i="22"/>
  <c r="BN342" i="22"/>
  <c r="BO342" i="22"/>
  <c r="BP342" i="22"/>
  <c r="BQ342" i="22"/>
  <c r="BR342" i="22"/>
  <c r="BS342" i="22"/>
  <c r="BT342" i="22"/>
  <c r="BU342" i="22"/>
  <c r="BV342" i="22"/>
  <c r="BW342" i="22"/>
  <c r="BX342" i="22"/>
  <c r="BY342" i="22"/>
  <c r="BZ342" i="22"/>
  <c r="CA342" i="22"/>
  <c r="CB342" i="22"/>
  <c r="A343" i="22"/>
  <c r="B343" i="22"/>
  <c r="C343" i="22"/>
  <c r="D343" i="22"/>
  <c r="E343" i="22"/>
  <c r="F343" i="22"/>
  <c r="G343" i="22"/>
  <c r="H343" i="22"/>
  <c r="I343" i="22"/>
  <c r="J343" i="22"/>
  <c r="K343" i="22"/>
  <c r="L343" i="22"/>
  <c r="M343" i="22"/>
  <c r="N343" i="22"/>
  <c r="O343" i="22"/>
  <c r="P343" i="22"/>
  <c r="Q343" i="22"/>
  <c r="R343" i="22"/>
  <c r="S343" i="22"/>
  <c r="T343" i="22"/>
  <c r="U343" i="22"/>
  <c r="V343" i="22"/>
  <c r="W343" i="22"/>
  <c r="X343" i="22"/>
  <c r="Y343" i="22"/>
  <c r="Z343" i="22"/>
  <c r="AA343" i="22"/>
  <c r="AB343" i="22"/>
  <c r="AC343" i="22"/>
  <c r="AD343" i="22"/>
  <c r="AE343" i="22"/>
  <c r="AF343" i="22"/>
  <c r="AG343" i="22"/>
  <c r="AH343" i="22"/>
  <c r="AI343" i="22"/>
  <c r="AJ343" i="22"/>
  <c r="AK343" i="22"/>
  <c r="AL343" i="22"/>
  <c r="AM343" i="22"/>
  <c r="AN343" i="22"/>
  <c r="AO343" i="22"/>
  <c r="AP343" i="22"/>
  <c r="AQ343" i="22"/>
  <c r="AR343" i="22"/>
  <c r="AS343" i="22"/>
  <c r="AT343" i="22"/>
  <c r="AU343" i="22"/>
  <c r="AV343" i="22"/>
  <c r="AW343" i="22"/>
  <c r="AX343" i="22"/>
  <c r="AY343" i="22"/>
  <c r="AZ343" i="22"/>
  <c r="BA343" i="22"/>
  <c r="BB343" i="22"/>
  <c r="BC343" i="22"/>
  <c r="BD343" i="22"/>
  <c r="BE343" i="22"/>
  <c r="BF343" i="22"/>
  <c r="BG343" i="22"/>
  <c r="BH343" i="22"/>
  <c r="BI343" i="22"/>
  <c r="BJ343" i="22"/>
  <c r="BK343" i="22"/>
  <c r="BL343" i="22"/>
  <c r="BM343" i="22"/>
  <c r="BN343" i="22"/>
  <c r="BO343" i="22"/>
  <c r="BP343" i="22"/>
  <c r="BQ343" i="22"/>
  <c r="BR343" i="22"/>
  <c r="BS343" i="22"/>
  <c r="BT343" i="22"/>
  <c r="BU343" i="22"/>
  <c r="BV343" i="22"/>
  <c r="BW343" i="22"/>
  <c r="BX343" i="22"/>
  <c r="BY343" i="22"/>
  <c r="BZ343" i="22"/>
  <c r="CA343" i="22"/>
  <c r="CB343" i="22"/>
  <c r="A344" i="22"/>
  <c r="B344" i="22"/>
  <c r="C344" i="22"/>
  <c r="D344" i="22"/>
  <c r="E344" i="22"/>
  <c r="F344" i="22"/>
  <c r="G344" i="22"/>
  <c r="H344" i="22"/>
  <c r="I344" i="22"/>
  <c r="J344" i="22"/>
  <c r="K344" i="22"/>
  <c r="L344" i="22"/>
  <c r="M344" i="22"/>
  <c r="N344" i="22"/>
  <c r="O344" i="22"/>
  <c r="P344" i="22"/>
  <c r="Q344" i="22"/>
  <c r="R344" i="22"/>
  <c r="S344" i="22"/>
  <c r="T344" i="22"/>
  <c r="U344" i="22"/>
  <c r="V344" i="22"/>
  <c r="W344" i="22"/>
  <c r="X344" i="22"/>
  <c r="Y344" i="22"/>
  <c r="Z344" i="22"/>
  <c r="AA344" i="22"/>
  <c r="AB344" i="22"/>
  <c r="AC344" i="22"/>
  <c r="AD344" i="22"/>
  <c r="AE344" i="22"/>
  <c r="AF344" i="22"/>
  <c r="AG344" i="22"/>
  <c r="AH344" i="22"/>
  <c r="AI344" i="22"/>
  <c r="AJ344" i="22"/>
  <c r="AK344" i="22"/>
  <c r="AL344" i="22"/>
  <c r="AM344" i="22"/>
  <c r="AN344" i="22"/>
  <c r="AO344" i="22"/>
  <c r="AP344" i="22"/>
  <c r="AQ344" i="22"/>
  <c r="AR344" i="22"/>
  <c r="AS344" i="22"/>
  <c r="AT344" i="22"/>
  <c r="AU344" i="22"/>
  <c r="AV344" i="22"/>
  <c r="AW344" i="22"/>
  <c r="AX344" i="22"/>
  <c r="AY344" i="22"/>
  <c r="AZ344" i="22"/>
  <c r="BA344" i="22"/>
  <c r="BB344" i="22"/>
  <c r="BC344" i="22"/>
  <c r="BD344" i="22"/>
  <c r="BE344" i="22"/>
  <c r="BF344" i="22"/>
  <c r="BG344" i="22"/>
  <c r="BH344" i="22"/>
  <c r="BI344" i="22"/>
  <c r="BJ344" i="22"/>
  <c r="BK344" i="22"/>
  <c r="BL344" i="22"/>
  <c r="BM344" i="22"/>
  <c r="BN344" i="22"/>
  <c r="BO344" i="22"/>
  <c r="BP344" i="22"/>
  <c r="BQ344" i="22"/>
  <c r="BR344" i="22"/>
  <c r="BS344" i="22"/>
  <c r="BT344" i="22"/>
  <c r="BU344" i="22"/>
  <c r="BV344" i="22"/>
  <c r="BW344" i="22"/>
  <c r="BX344" i="22"/>
  <c r="BY344" i="22"/>
  <c r="BZ344" i="22"/>
  <c r="CA344" i="22"/>
  <c r="CB344" i="22"/>
  <c r="A345" i="22"/>
  <c r="B345" i="22"/>
  <c r="C345" i="22"/>
  <c r="D345" i="22"/>
  <c r="E345" i="22"/>
  <c r="F345" i="22"/>
  <c r="G345" i="22"/>
  <c r="H345" i="22"/>
  <c r="I345" i="22"/>
  <c r="J345" i="22"/>
  <c r="K345" i="22"/>
  <c r="L345" i="22"/>
  <c r="M345" i="22"/>
  <c r="N345" i="22"/>
  <c r="O345" i="22"/>
  <c r="P345" i="22"/>
  <c r="Q345" i="22"/>
  <c r="R345" i="22"/>
  <c r="S345" i="22"/>
  <c r="T345" i="22"/>
  <c r="U345" i="22"/>
  <c r="V345" i="22"/>
  <c r="W345" i="22"/>
  <c r="X345" i="22"/>
  <c r="Y345" i="22"/>
  <c r="Z345" i="22"/>
  <c r="AA345" i="22"/>
  <c r="AB345" i="22"/>
  <c r="AC345" i="22"/>
  <c r="AD345" i="22"/>
  <c r="AE345" i="22"/>
  <c r="AF345" i="22"/>
  <c r="AG345" i="22"/>
  <c r="AH345" i="22"/>
  <c r="AI345" i="22"/>
  <c r="AJ345" i="22"/>
  <c r="AK345" i="22"/>
  <c r="AL345" i="22"/>
  <c r="AM345" i="22"/>
  <c r="AN345" i="22"/>
  <c r="AO345" i="22"/>
  <c r="AP345" i="22"/>
  <c r="AQ345" i="22"/>
  <c r="AR345" i="22"/>
  <c r="AS345" i="22"/>
  <c r="AT345" i="22"/>
  <c r="AU345" i="22"/>
  <c r="AV345" i="22"/>
  <c r="AW345" i="22"/>
  <c r="AX345" i="22"/>
  <c r="AK412" i="22"/>
  <c r="AL412" i="22"/>
  <c r="AM412" i="22"/>
  <c r="AN412" i="22"/>
  <c r="AO412" i="22"/>
  <c r="AP412" i="22"/>
  <c r="AQ412" i="22"/>
  <c r="AR412" i="22"/>
  <c r="AS412" i="22"/>
  <c r="AT412" i="22"/>
  <c r="AU412" i="22"/>
  <c r="AV412" i="22"/>
  <c r="AW412" i="22"/>
  <c r="AX412" i="22"/>
  <c r="AY412" i="22"/>
  <c r="AZ412" i="22"/>
  <c r="BA412" i="22"/>
  <c r="BB412" i="22"/>
  <c r="BC412" i="22"/>
  <c r="BD412" i="22"/>
  <c r="BE412" i="22"/>
  <c r="BF412" i="22"/>
  <c r="BG412" i="22"/>
  <c r="BH412" i="22"/>
  <c r="BI412" i="22"/>
  <c r="BJ412" i="22"/>
  <c r="BK412" i="22"/>
  <c r="BL412" i="22"/>
  <c r="BM412" i="22"/>
  <c r="BN412" i="22"/>
  <c r="BO412" i="22"/>
  <c r="BP412" i="22"/>
  <c r="BQ412" i="22"/>
  <c r="BR412" i="22"/>
  <c r="BS412" i="22"/>
  <c r="BT412" i="22"/>
  <c r="BU412" i="22"/>
  <c r="BV412" i="22"/>
  <c r="BW412" i="22"/>
  <c r="BX412" i="22"/>
  <c r="BY412" i="22"/>
  <c r="BZ412" i="22"/>
  <c r="CA412" i="22"/>
  <c r="CB412" i="22"/>
  <c r="A413" i="22"/>
  <c r="B413" i="22"/>
  <c r="C413" i="22"/>
  <c r="D413" i="22"/>
  <c r="E413" i="22"/>
  <c r="F413" i="22"/>
  <c r="G413" i="22"/>
  <c r="H413" i="22"/>
  <c r="I413" i="22"/>
  <c r="J413" i="22"/>
  <c r="K413" i="22"/>
  <c r="L413" i="22"/>
  <c r="M413" i="22"/>
  <c r="N413" i="22"/>
  <c r="O413" i="22"/>
  <c r="P413" i="22"/>
  <c r="Q413" i="22"/>
  <c r="R413" i="22"/>
  <c r="S413" i="22"/>
  <c r="T413" i="22"/>
  <c r="U413" i="22"/>
  <c r="V413" i="22"/>
  <c r="W413" i="22"/>
  <c r="X413" i="22"/>
  <c r="Y413" i="22"/>
  <c r="Z413" i="22"/>
  <c r="AA413" i="22"/>
  <c r="AB413" i="22"/>
  <c r="AC413" i="22"/>
  <c r="AD413" i="22"/>
  <c r="AE413" i="22"/>
  <c r="AF413" i="22"/>
  <c r="AG413" i="22"/>
  <c r="AH413" i="22"/>
  <c r="AI413" i="22"/>
  <c r="AJ413" i="22"/>
  <c r="AK413" i="22"/>
  <c r="AL413" i="22"/>
  <c r="AM413" i="22"/>
  <c r="AN413" i="22"/>
  <c r="AO413" i="22"/>
  <c r="AP413" i="22"/>
  <c r="AQ413" i="22"/>
  <c r="AR413" i="22"/>
  <c r="AS413" i="22"/>
  <c r="AT413" i="22"/>
  <c r="AU413" i="22"/>
  <c r="AV413" i="22"/>
  <c r="AW413" i="22"/>
  <c r="AX413" i="22"/>
  <c r="AY413" i="22"/>
  <c r="AZ413" i="22"/>
  <c r="BA413" i="22"/>
  <c r="BB413" i="22"/>
  <c r="BC413" i="22"/>
  <c r="BD413" i="22"/>
  <c r="BE413" i="22"/>
  <c r="BF413" i="22"/>
  <c r="BG413" i="22"/>
  <c r="BH413" i="22"/>
  <c r="BI413" i="22"/>
  <c r="BJ413" i="22"/>
  <c r="BK413" i="22"/>
  <c r="BL413" i="22"/>
  <c r="BM413" i="22"/>
  <c r="BN413" i="22"/>
  <c r="BO413" i="22"/>
  <c r="BP413" i="22"/>
  <c r="BQ413" i="22"/>
  <c r="BR413" i="22"/>
  <c r="BS413" i="22"/>
  <c r="BT413" i="22"/>
  <c r="BU413" i="22"/>
  <c r="BV413" i="22"/>
  <c r="BW413" i="22"/>
  <c r="BX413" i="22"/>
  <c r="BY413" i="22"/>
  <c r="BZ413" i="22"/>
  <c r="CA413" i="22"/>
  <c r="CB413" i="22"/>
  <c r="A414" i="22"/>
  <c r="B414" i="22"/>
  <c r="C414" i="22"/>
  <c r="D414" i="22"/>
  <c r="E414" i="22"/>
  <c r="F414" i="22"/>
  <c r="G414" i="22"/>
  <c r="H414" i="22"/>
  <c r="I414" i="22"/>
  <c r="J414" i="22"/>
  <c r="K414" i="22"/>
  <c r="L414" i="22"/>
  <c r="M414" i="22"/>
  <c r="N414" i="22"/>
  <c r="O414" i="22"/>
  <c r="P414" i="22"/>
  <c r="Q414" i="22"/>
  <c r="R414" i="22"/>
  <c r="S414" i="22"/>
  <c r="T414" i="22"/>
  <c r="U414" i="22"/>
  <c r="V414" i="22"/>
  <c r="W414" i="22"/>
  <c r="X414" i="22"/>
  <c r="Y414" i="22"/>
  <c r="Z414" i="22"/>
  <c r="AA414" i="22"/>
  <c r="AB414" i="22"/>
  <c r="AC414" i="22"/>
  <c r="AD414" i="22"/>
  <c r="AE414" i="22"/>
  <c r="AF414" i="22"/>
  <c r="AG414" i="22"/>
  <c r="AH414" i="22"/>
  <c r="AI414" i="22"/>
  <c r="AJ414" i="22"/>
  <c r="AK414" i="22"/>
  <c r="AL414" i="22"/>
  <c r="AM414" i="22"/>
  <c r="AN414" i="22"/>
  <c r="AO414" i="22"/>
  <c r="AP414" i="22"/>
  <c r="AQ414" i="22"/>
  <c r="AR414" i="22"/>
  <c r="AS414" i="22"/>
  <c r="AT414" i="22"/>
  <c r="AU414" i="22"/>
  <c r="AV414" i="22"/>
  <c r="AW414" i="22"/>
  <c r="AX414" i="22"/>
  <c r="AY414" i="22"/>
  <c r="AZ414" i="22"/>
  <c r="BA414" i="22"/>
  <c r="BB414" i="22"/>
  <c r="BC414" i="22"/>
  <c r="BD414" i="22"/>
  <c r="BE414" i="22"/>
  <c r="BF414" i="22"/>
  <c r="BG414" i="22"/>
  <c r="BH414" i="22"/>
  <c r="BI414" i="22"/>
  <c r="BJ414" i="22"/>
  <c r="BK414" i="22"/>
  <c r="BL414" i="22"/>
  <c r="BM414" i="22"/>
  <c r="BN414" i="22"/>
  <c r="BO414" i="22"/>
  <c r="BP414" i="22"/>
  <c r="BQ414" i="22"/>
  <c r="BR414" i="22"/>
  <c r="BS414" i="22"/>
  <c r="BT414" i="22"/>
  <c r="BU414" i="22"/>
  <c r="BV414" i="22"/>
  <c r="BW414" i="22"/>
  <c r="BX414" i="22"/>
  <c r="BY414" i="22"/>
  <c r="BZ414" i="22"/>
  <c r="CA414" i="22"/>
  <c r="CB414" i="22"/>
  <c r="A415" i="22"/>
  <c r="B415" i="22"/>
  <c r="C415" i="22"/>
  <c r="D415" i="22"/>
  <c r="E415" i="22"/>
  <c r="F415" i="22"/>
  <c r="G415" i="22"/>
  <c r="H415" i="22"/>
  <c r="I415" i="22"/>
  <c r="J415" i="22"/>
  <c r="K415" i="22"/>
  <c r="L415" i="22"/>
  <c r="M415" i="22"/>
  <c r="N415" i="22"/>
  <c r="O415" i="22"/>
  <c r="P415" i="22"/>
  <c r="Q415" i="22"/>
  <c r="R415" i="22"/>
  <c r="S415" i="22"/>
  <c r="T415" i="22"/>
  <c r="U415" i="22"/>
  <c r="V415" i="22"/>
  <c r="W415" i="22"/>
  <c r="X415" i="22"/>
  <c r="Y415" i="22"/>
  <c r="Z415" i="22"/>
  <c r="AA415" i="22"/>
  <c r="AB415" i="22"/>
  <c r="AC415" i="22"/>
  <c r="AD415" i="22"/>
  <c r="AE415" i="22"/>
  <c r="AF415" i="22"/>
  <c r="AG415" i="22"/>
  <c r="AH415" i="22"/>
  <c r="AI415" i="22"/>
  <c r="AJ415" i="22"/>
  <c r="AK415" i="22"/>
  <c r="AL415" i="22"/>
  <c r="AM415" i="22"/>
  <c r="AN415" i="22"/>
  <c r="AO415" i="22"/>
  <c r="AP415" i="22"/>
  <c r="AQ415" i="22"/>
  <c r="AR415" i="22"/>
  <c r="AS415" i="22"/>
  <c r="AT415" i="22"/>
  <c r="AU415" i="22"/>
  <c r="AV415" i="22"/>
  <c r="AW415" i="22"/>
  <c r="AX415" i="22"/>
  <c r="AY415" i="22"/>
  <c r="AZ415" i="22"/>
  <c r="BA415" i="22"/>
  <c r="BB415" i="22"/>
  <c r="BC415" i="22"/>
  <c r="BD415" i="22"/>
  <c r="BE415" i="22"/>
  <c r="BF415" i="22"/>
  <c r="BG415" i="22"/>
  <c r="BH415" i="22"/>
  <c r="BI415" i="22"/>
  <c r="BJ415" i="22"/>
  <c r="BK415" i="22"/>
  <c r="BL415" i="22"/>
  <c r="BM415" i="22"/>
  <c r="BN415" i="22"/>
  <c r="BO415" i="22"/>
  <c r="BP415" i="22"/>
  <c r="BQ415" i="22"/>
  <c r="BR415" i="22"/>
  <c r="BS415" i="22"/>
  <c r="BT415" i="22"/>
  <c r="BU415" i="22"/>
  <c r="BV415" i="22"/>
  <c r="BW415" i="22"/>
  <c r="BX415" i="22"/>
  <c r="BY415" i="22"/>
  <c r="BZ415" i="22"/>
  <c r="CA415" i="22"/>
  <c r="CB415" i="22"/>
  <c r="A416" i="22"/>
  <c r="B416" i="22"/>
  <c r="C416" i="22"/>
  <c r="D416" i="22"/>
  <c r="E416" i="22"/>
  <c r="F416" i="22"/>
  <c r="G416" i="22"/>
  <c r="H416" i="22"/>
  <c r="I416" i="22"/>
  <c r="J416" i="22"/>
  <c r="K416" i="22"/>
  <c r="L416" i="22"/>
  <c r="M416" i="22"/>
  <c r="N416" i="22"/>
  <c r="O416" i="22"/>
  <c r="P416" i="22"/>
  <c r="Q416" i="22"/>
  <c r="R416" i="22"/>
  <c r="S416" i="22"/>
  <c r="T416" i="22"/>
  <c r="U416" i="22"/>
  <c r="V416" i="22"/>
  <c r="W416" i="22"/>
  <c r="X416" i="22"/>
  <c r="Y416" i="22"/>
  <c r="Z416" i="22"/>
  <c r="AA416" i="22"/>
  <c r="AB416" i="22"/>
  <c r="AC416" i="22"/>
  <c r="AD416" i="22"/>
  <c r="AE416" i="22"/>
  <c r="AF416" i="22"/>
  <c r="AG416" i="22"/>
  <c r="AH416" i="22"/>
  <c r="AI416" i="22"/>
  <c r="AJ416" i="22"/>
  <c r="AK416" i="22"/>
  <c r="AL416" i="22"/>
  <c r="AM416" i="22"/>
  <c r="AN416" i="22"/>
  <c r="AO416" i="22"/>
  <c r="AP416" i="22"/>
  <c r="AQ416" i="22"/>
  <c r="AR416" i="22"/>
  <c r="AS416" i="22"/>
  <c r="AT416" i="22"/>
  <c r="AU416" i="22"/>
  <c r="AV416" i="22"/>
  <c r="AW416" i="22"/>
  <c r="AX416" i="22"/>
  <c r="AY416" i="22"/>
  <c r="AZ416" i="22"/>
  <c r="BA416" i="22"/>
  <c r="BB416" i="22"/>
  <c r="BC416" i="22"/>
  <c r="BD416" i="22"/>
  <c r="BE416" i="22"/>
  <c r="BF416" i="22"/>
  <c r="BG416" i="22"/>
  <c r="BH416" i="22"/>
  <c r="BI416" i="22"/>
  <c r="BJ416" i="22"/>
  <c r="BK416" i="22"/>
  <c r="BL416" i="22"/>
  <c r="BM416" i="22"/>
  <c r="BN416" i="22"/>
  <c r="BO416" i="22"/>
  <c r="BP416" i="22"/>
  <c r="BQ416" i="22"/>
  <c r="BR416" i="22"/>
  <c r="BS416" i="22"/>
  <c r="BT416" i="22"/>
  <c r="BU416" i="22"/>
  <c r="BV416" i="22"/>
  <c r="BW416" i="22"/>
  <c r="BX416" i="22"/>
  <c r="BY416" i="22"/>
  <c r="BZ416" i="22"/>
  <c r="CA416" i="22"/>
  <c r="CB416" i="22"/>
  <c r="A417" i="22"/>
  <c r="B417" i="22"/>
  <c r="C417" i="22"/>
  <c r="D417" i="22"/>
  <c r="E417" i="22"/>
  <c r="F417" i="22"/>
  <c r="G417" i="22"/>
  <c r="H417" i="22"/>
  <c r="I417" i="22"/>
  <c r="J417" i="22"/>
  <c r="K417" i="22"/>
  <c r="L417" i="22"/>
  <c r="M417" i="22"/>
  <c r="N417" i="22"/>
  <c r="O417" i="22"/>
  <c r="P417" i="22"/>
  <c r="Q417" i="22"/>
  <c r="R417" i="22"/>
  <c r="S417" i="22"/>
  <c r="T417" i="22"/>
  <c r="U417" i="22"/>
  <c r="V417" i="22"/>
  <c r="W417" i="22"/>
  <c r="X417" i="22"/>
  <c r="Y417" i="22"/>
  <c r="Z417" i="22"/>
  <c r="AA417" i="22"/>
  <c r="AB417" i="22"/>
  <c r="AC417" i="22"/>
  <c r="AD417" i="22"/>
  <c r="AE417" i="22"/>
  <c r="AF417" i="22"/>
  <c r="AG417" i="22"/>
  <c r="AH417" i="22"/>
  <c r="AI417" i="22"/>
  <c r="AJ417" i="22"/>
  <c r="AK417" i="22"/>
  <c r="AL417" i="22"/>
  <c r="AM417" i="22"/>
  <c r="AN417" i="22"/>
  <c r="AO417" i="22"/>
  <c r="AP417" i="22"/>
  <c r="AQ417" i="22"/>
  <c r="AR417" i="22"/>
  <c r="AS417" i="22"/>
  <c r="AT417" i="22"/>
  <c r="AU417" i="22"/>
  <c r="AV417" i="22"/>
  <c r="AW417" i="22"/>
  <c r="AX417" i="22"/>
  <c r="AY417" i="22"/>
  <c r="AZ417" i="22"/>
  <c r="BA417" i="22"/>
  <c r="BB417" i="22"/>
  <c r="BC417" i="22"/>
  <c r="BD417" i="22"/>
  <c r="BE417" i="22"/>
  <c r="BF417" i="22"/>
  <c r="BG417" i="22"/>
  <c r="BH417" i="22"/>
  <c r="BI417" i="22"/>
  <c r="BJ417" i="22"/>
  <c r="BK417" i="22"/>
  <c r="BL417" i="22"/>
  <c r="BM417" i="22"/>
  <c r="BN417" i="22"/>
  <c r="BO417" i="22"/>
  <c r="BP417" i="22"/>
  <c r="BQ417" i="22"/>
  <c r="BR417" i="22"/>
  <c r="BS417" i="22"/>
  <c r="BT417" i="22"/>
  <c r="BU417" i="22"/>
  <c r="BV417" i="22"/>
  <c r="BW417" i="22"/>
  <c r="BX417" i="22"/>
  <c r="BY417" i="22"/>
  <c r="BZ417" i="22"/>
  <c r="CA417" i="22"/>
  <c r="CB417" i="22"/>
  <c r="A418" i="22"/>
  <c r="B418" i="22"/>
  <c r="C418" i="22"/>
  <c r="D418" i="22"/>
  <c r="E418" i="22"/>
  <c r="F418" i="22"/>
  <c r="G418" i="22"/>
  <c r="H418" i="22"/>
  <c r="I418" i="22"/>
  <c r="J418" i="22"/>
  <c r="K418" i="22"/>
  <c r="L418" i="22"/>
  <c r="M418" i="22"/>
  <c r="N418" i="22"/>
  <c r="O418" i="22"/>
  <c r="P418" i="22"/>
  <c r="Q418" i="22"/>
  <c r="R418" i="22"/>
  <c r="S418" i="22"/>
  <c r="T418" i="22"/>
  <c r="U418" i="22"/>
  <c r="V418" i="22"/>
  <c r="W418" i="22"/>
  <c r="X418" i="22"/>
  <c r="Y418" i="22"/>
  <c r="Z418" i="22"/>
  <c r="AA418" i="22"/>
  <c r="AB418" i="22"/>
  <c r="AC418" i="22"/>
  <c r="AD418" i="22"/>
  <c r="AE418" i="22"/>
  <c r="AF418" i="22"/>
  <c r="AG418" i="22"/>
  <c r="AH418" i="22"/>
  <c r="AI418" i="22"/>
  <c r="AJ418" i="22"/>
  <c r="AK418" i="22"/>
  <c r="AL418" i="22"/>
  <c r="AM418" i="22"/>
  <c r="AN418" i="22"/>
  <c r="AO418" i="22"/>
  <c r="AP418" i="22"/>
  <c r="AQ418" i="22"/>
  <c r="AR418" i="22"/>
  <c r="AS418" i="22"/>
  <c r="AT418" i="22"/>
  <c r="AU418" i="22"/>
  <c r="AV418" i="22"/>
  <c r="AW418" i="22"/>
  <c r="AX418" i="22"/>
  <c r="AY418" i="22"/>
  <c r="AZ418" i="22"/>
  <c r="BA418" i="22"/>
  <c r="BB418" i="22"/>
  <c r="BC418" i="22"/>
  <c r="BD418" i="22"/>
  <c r="BE418" i="22"/>
  <c r="BF418" i="22"/>
  <c r="BG418" i="22"/>
  <c r="BH418" i="22"/>
  <c r="BI418" i="22"/>
  <c r="BJ418" i="22"/>
  <c r="BK418" i="22"/>
  <c r="BL418" i="22"/>
  <c r="BM418" i="22"/>
  <c r="BN418" i="22"/>
  <c r="BO418" i="22"/>
  <c r="BP418" i="22"/>
  <c r="BQ418" i="22"/>
  <c r="BR418" i="22"/>
  <c r="BS418" i="22"/>
  <c r="BT418" i="22"/>
  <c r="BU418" i="22"/>
  <c r="BV418" i="22"/>
  <c r="BW418" i="22"/>
  <c r="BX418" i="22"/>
  <c r="BY418" i="22"/>
  <c r="BZ418" i="22"/>
  <c r="CA418" i="22"/>
  <c r="CB418" i="22"/>
  <c r="B673" i="22"/>
  <c r="B690" i="22" a="1"/>
  <c r="B690" i="22" s="1"/>
  <c r="B691" i="22" a="1"/>
  <c r="B691" i="22" s="1"/>
  <c r="E6" i="11"/>
  <c r="F6" i="11"/>
  <c r="E7" i="11"/>
  <c r="F7" i="11"/>
  <c r="E8" i="11"/>
  <c r="F8" i="11"/>
  <c r="F9" i="11"/>
  <c r="E9" i="11"/>
  <c r="F10" i="11"/>
  <c r="E10" i="11"/>
  <c r="E11" i="11"/>
  <c r="F11" i="11"/>
  <c r="F12" i="11"/>
  <c r="E12" i="11"/>
  <c r="F13" i="11"/>
  <c r="E13" i="11"/>
  <c r="E14" i="11"/>
  <c r="F14" i="11"/>
  <c r="E15" i="11"/>
  <c r="F15" i="11"/>
  <c r="E16" i="11"/>
  <c r="F16" i="11"/>
  <c r="E17" i="11"/>
  <c r="F17" i="11"/>
  <c r="F18" i="11"/>
  <c r="E18" i="11"/>
  <c r="E19" i="11"/>
  <c r="F19" i="11"/>
  <c r="F20" i="11"/>
  <c r="E20" i="11"/>
  <c r="E21" i="11"/>
  <c r="F21" i="11"/>
  <c r="E22" i="11"/>
  <c r="F23" i="11"/>
  <c r="E23" i="11"/>
  <c r="F24" i="11"/>
  <c r="F25" i="11"/>
  <c r="E26" i="11"/>
  <c r="F26" i="11"/>
  <c r="E27" i="11"/>
  <c r="F27" i="11"/>
  <c r="F28" i="11"/>
  <c r="E28" i="11"/>
  <c r="F29" i="11"/>
  <c r="E29" i="11"/>
  <c r="E30" i="11"/>
  <c r="F30" i="11"/>
  <c r="E31" i="11"/>
  <c r="F31" i="11"/>
  <c r="E32" i="11"/>
  <c r="F32" i="11"/>
  <c r="F33" i="11"/>
  <c r="E33" i="11"/>
  <c r="F34" i="11"/>
  <c r="E34" i="11"/>
  <c r="F35" i="11"/>
  <c r="E35" i="11"/>
  <c r="E36" i="11"/>
  <c r="F36" i="11"/>
  <c r="E37" i="11"/>
  <c r="F37" i="11"/>
  <c r="E38" i="11"/>
  <c r="F38" i="11"/>
  <c r="F39" i="11"/>
  <c r="E39" i="11"/>
  <c r="E40" i="11"/>
  <c r="F40" i="11"/>
  <c r="F41" i="11"/>
  <c r="E41" i="11"/>
  <c r="E42" i="11"/>
  <c r="F42" i="11"/>
  <c r="F43" i="11"/>
  <c r="E43" i="11"/>
  <c r="E44" i="11"/>
  <c r="F44" i="11"/>
  <c r="E45" i="11"/>
  <c r="F45" i="11"/>
  <c r="F46" i="11"/>
  <c r="E46" i="11"/>
  <c r="E47" i="11"/>
  <c r="F47" i="11"/>
  <c r="E48" i="11"/>
  <c r="F48" i="11"/>
  <c r="F49" i="11"/>
  <c r="E49" i="11"/>
  <c r="F50" i="11"/>
  <c r="E50" i="11"/>
  <c r="F22" i="11"/>
  <c r="E24" i="11"/>
  <c r="E25" i="11"/>
  <c r="E51" i="11"/>
  <c r="F51" i="11"/>
  <c r="E52" i="11"/>
  <c r="F52" i="11"/>
  <c r="F53" i="11"/>
  <c r="E53" i="11"/>
  <c r="F54" i="11"/>
  <c r="E54" i="11"/>
  <c r="E55" i="11"/>
  <c r="F55" i="11"/>
  <c r="F56" i="11"/>
  <c r="E56" i="11"/>
  <c r="F57" i="11"/>
  <c r="E57" i="11"/>
  <c r="E58" i="11"/>
  <c r="F58" i="11"/>
  <c r="F59" i="11"/>
  <c r="E59" i="11"/>
  <c r="E60" i="11"/>
  <c r="F60" i="11"/>
  <c r="F61" i="11"/>
  <c r="E61" i="11"/>
  <c r="E62" i="11"/>
  <c r="F62" i="11"/>
  <c r="E63" i="11"/>
  <c r="F63" i="11"/>
  <c r="F64" i="11"/>
  <c r="E64" i="11"/>
  <c r="E65" i="11"/>
  <c r="F65" i="11"/>
  <c r="F66" i="11"/>
  <c r="E66" i="11"/>
  <c r="E67" i="11"/>
  <c r="F67" i="11"/>
  <c r="E68" i="11"/>
  <c r="F68" i="11"/>
  <c r="E69" i="11"/>
  <c r="F69" i="11"/>
  <c r="F70" i="11"/>
  <c r="E70" i="11"/>
  <c r="F71" i="11"/>
  <c r="E71" i="11"/>
  <c r="E72" i="11"/>
  <c r="F72" i="11"/>
  <c r="F73" i="11"/>
  <c r="E73" i="11"/>
  <c r="E74" i="11"/>
  <c r="F74" i="11"/>
  <c r="E75" i="11"/>
  <c r="F75" i="11"/>
  <c r="E76" i="11"/>
  <c r="F76" i="11"/>
  <c r="F77" i="11"/>
  <c r="E77" i="11"/>
  <c r="E78" i="11"/>
  <c r="F78" i="11"/>
  <c r="E79" i="11"/>
  <c r="F79" i="11"/>
  <c r="F80" i="11"/>
  <c r="E80" i="11"/>
  <c r="F81" i="11"/>
  <c r="E81" i="11"/>
  <c r="F82" i="11"/>
  <c r="E82" i="11"/>
  <c r="E83" i="11"/>
  <c r="F83" i="11"/>
  <c r="E84" i="11"/>
  <c r="F84" i="11"/>
  <c r="E85" i="11"/>
  <c r="F85" i="11"/>
  <c r="L600" i="22"/>
  <c r="L601" i="22"/>
  <c r="L602" i="22"/>
  <c r="L603" i="22"/>
  <c r="L604" i="22"/>
  <c r="L605" i="22"/>
  <c r="L606" i="22"/>
  <c r="L607" i="22"/>
  <c r="L608" i="22"/>
  <c r="L609" i="22"/>
  <c r="L625" i="22"/>
  <c r="L637" i="22"/>
  <c r="L638" i="22"/>
  <c r="L597" i="22"/>
  <c r="L631" i="22"/>
  <c r="L632" i="22"/>
  <c r="L592" i="22"/>
  <c r="L593" i="22"/>
  <c r="L595" i="22"/>
  <c r="L596" i="22"/>
  <c r="L598" i="22"/>
  <c r="L633" i="22"/>
  <c r="L634" i="22"/>
  <c r="L635" i="22"/>
  <c r="L636" i="22"/>
  <c r="L639" i="22"/>
  <c r="L587" i="22"/>
  <c r="L588" i="22"/>
  <c r="L589" i="22"/>
  <c r="L594" i="22"/>
  <c r="L599" i="22"/>
  <c r="L640" i="22"/>
  <c r="L641" i="22"/>
  <c r="L642" i="22"/>
  <c r="L643" i="22"/>
  <c r="L644" i="22"/>
  <c r="L645" i="22"/>
  <c r="L646" i="22"/>
  <c r="L647" i="22"/>
  <c r="L648" i="22"/>
  <c r="L649" i="22"/>
  <c r="L650" i="22"/>
  <c r="L651" i="22"/>
  <c r="L652" i="22"/>
  <c r="L653" i="22"/>
  <c r="L654" i="22"/>
  <c r="L655" i="22"/>
  <c r="L656" i="22"/>
  <c r="L657" i="22"/>
  <c r="L658" i="22"/>
  <c r="L659" i="22"/>
  <c r="L660" i="22"/>
  <c r="L661" i="22"/>
  <c r="L662" i="22"/>
  <c r="L663" i="22"/>
  <c r="L664" i="22"/>
  <c r="L665" i="22"/>
  <c r="B677" i="22"/>
  <c r="C88" i="11" s="1"/>
  <c r="L590" i="22"/>
  <c r="L591" i="22"/>
</calcChain>
</file>

<file path=xl/sharedStrings.xml><?xml version="1.0" encoding="utf-8"?>
<sst xmlns="http://schemas.openxmlformats.org/spreadsheetml/2006/main" count="1148" uniqueCount="384">
  <si>
    <t>Código</t>
  </si>
  <si>
    <t>RESULTADOS — CLASIFICACIÓN DIRECTA</t>
  </si>
  <si>
    <t>Sistema tal como es hoy. Influencias inmediatas, sin considerar cadenas ni relaciones potenciales.</t>
  </si>
  <si>
    <t>Variable</t>
  </si>
  <si>
    <t>Motricidad</t>
  </si>
  <si>
    <t>Dependencia</t>
  </si>
  <si>
    <t>% Motr.</t>
  </si>
  <si>
    <t>% Dep.</t>
  </si>
  <si>
    <t>Rank Motr.</t>
  </si>
  <si>
    <t>Rank Dep.</t>
  </si>
  <si>
    <t>Clasificación SR-10</t>
  </si>
  <si>
    <t>Tipología ampliada (extensión)</t>
  </si>
  <si>
    <t>Umbral de clasificación (media sobre variables activas)</t>
  </si>
  <si>
    <t>Amplitud de la banda de pelotón (± sobre el umbral)</t>
  </si>
  <si>
    <t>Nota</t>
  </si>
  <si>
    <t>La media de motricidad y la de dependencia son idénticas por construcción: ambas equivalen al total de la matriz dividido entre n. Por eso el plano se corta por un único umbral.</t>
  </si>
  <si>
    <t>RESULTADOS — CLASIFICACIÓN INDIRECTA (MID³)</t>
  </si>
  <si>
    <t>Incorpora las cadenas de influencia a través de terceras variables. Aquí aparecen las variables ocultas.</t>
  </si>
  <si>
    <t>Δ posiciones vs. directa</t>
  </si>
  <si>
    <t>Diagnóstico</t>
  </si>
  <si>
    <t>RESULTADOS — CLASIFICACIÓN POTENCIAL DIRECTA (MIDP)</t>
  </si>
  <si>
    <t>Sistema tal como sería si las relaciones latentes (valor 4) llegaran a materializarse.</t>
  </si>
  <si>
    <t>COMPARATIVA DE LAS CUATRO CLASIFICACIONES Y CONVERGENCIA</t>
  </si>
  <si>
    <t>Comparar las jerarquías procedentes de las distintas clasificaciones es, según el SR-10, una fuente rica de información.</t>
  </si>
  <si>
    <t>Rank directo</t>
  </si>
  <si>
    <t>Rank indirecto</t>
  </si>
  <si>
    <t>Rank pot. directo</t>
  </si>
  <si>
    <t>Rank pot. indirecto</t>
  </si>
  <si>
    <t>Δ dir→ind</t>
  </si>
  <si>
    <t>Δ dir→pot</t>
  </si>
  <si>
    <t>Clasificación directa</t>
  </si>
  <si>
    <t>Clasificación potencial indirecta</t>
  </si>
  <si>
    <t>¿Cambia de categoría?</t>
  </si>
  <si>
    <t>Lectura sugerida</t>
  </si>
  <si>
    <t>ANÁLISIS DE CONVERGENCIA — ¿SE HA ESTABILIZADO LA CLASIFICACIÓN?</t>
  </si>
  <si>
    <t>Variables que cambian de puesto entre MID¹ y MID²</t>
  </si>
  <si>
    <t>Variables que cambian de puesto entre MID² y MID³</t>
  </si>
  <si>
    <t>Variables que cambian de puesto entre MID³ y MID⁴</t>
  </si>
  <si>
    <t>Diagnóstico de convergencia</t>
  </si>
  <si>
    <t>ADVERTENCIA METODOLÓGICA. No confunda la convergencia con la diferencia entre la clasificación directa y la indirecta. La convergencia mide si la jerarquía se estabiliza al elevar la matriz a potencias sucesivas, y es un requisito técnico. La diferencia directa-indirecta, en cambio, NO es un defecto que haya que minimizar: es precisamente el hallazgo del método. Si ambas clasificaciones coincidieran, MICMAC no aportaría nada sobre la simple suma de filas.</t>
  </si>
  <si>
    <t>MOTOR DE CÁLCULO — NO MODIFICAR</t>
  </si>
  <si>
    <t>Hoja técnica. Todas las matrices se calculan con fórmulas matriciales MMULT.</t>
  </si>
  <si>
    <t>n activo</t>
  </si>
  <si>
    <t>preguntas posibles</t>
  </si>
  <si>
    <t>relaciones no nulas</t>
  </si>
  <si>
    <t>relaciones potenciales</t>
  </si>
  <si>
    <t>densidad</t>
  </si>
  <si>
    <t>banda pelotón</t>
  </si>
  <si>
    <t>MID_DIRECTA (4-&gt;0)</t>
  </si>
  <si>
    <t>MID_POTENCIAL (4-&gt;3)</t>
  </si>
  <si>
    <t>MID^2</t>
  </si>
  <si>
    <t>MID^3</t>
  </si>
  <si>
    <t>MID^4</t>
  </si>
  <si>
    <t>MIDP^2</t>
  </si>
  <si>
    <t>MIDP^3</t>
  </si>
  <si>
    <t>Cod</t>
  </si>
  <si>
    <t>Activa</t>
  </si>
  <si>
    <t>MotD</t>
  </si>
  <si>
    <t>DepD</t>
  </si>
  <si>
    <t>MotI</t>
  </si>
  <si>
    <t>DepI</t>
  </si>
  <si>
    <t>MotPD</t>
  </si>
  <si>
    <t>DepPD</t>
  </si>
  <si>
    <t>MotPI</t>
  </si>
  <si>
    <t>DepPI</t>
  </si>
  <si>
    <t>Mot2</t>
  </si>
  <si>
    <t>Mot4</t>
  </si>
  <si>
    <t>RkD</t>
  </si>
  <si>
    <t>Rk2</t>
  </si>
  <si>
    <t>Rk3</t>
  </si>
  <si>
    <t>Rk4</t>
  </si>
  <si>
    <t>umbral directo</t>
  </si>
  <si>
    <t>umbral indirecto</t>
  </si>
  <si>
    <t>umbral pot directo</t>
  </si>
  <si>
    <t>umbral pot indir</t>
  </si>
  <si>
    <t>total directo</t>
  </si>
  <si>
    <t>total indirecto</t>
  </si>
  <si>
    <t>total pot directo</t>
  </si>
  <si>
    <t>total pot indir</t>
  </si>
  <si>
    <t>banda directa</t>
  </si>
  <si>
    <t>banda indirecta</t>
  </si>
  <si>
    <t>banda pot dir</t>
  </si>
  <si>
    <t>banda pot ind</t>
  </si>
  <si>
    <t>cambios rank 1-&gt;2</t>
  </si>
  <si>
    <t>cambios rank 2-&gt;3</t>
  </si>
  <si>
    <t>cambios rank 3-&gt;4</t>
  </si>
  <si>
    <t>max activo directa</t>
  </si>
  <si>
    <t>min activo directa</t>
  </si>
  <si>
    <t>max activo indirecta</t>
  </si>
  <si>
    <t>min activo indirecta</t>
  </si>
  <si>
    <t>max activo pot dir</t>
  </si>
  <si>
    <t>min activo pot dir</t>
  </si>
  <si>
    <t>max activo pot ind</t>
  </si>
  <si>
    <t>min activo pot ind</t>
  </si>
  <si>
    <t>MICMAC  ESSENTIALS</t>
  </si>
  <si>
    <t>Módulo 01 · v1.0</t>
  </si>
  <si>
    <t>Descubra qué factores gobiernan de verdad un sistema</t>
  </si>
  <si>
    <t>SU ESTUDIO, AHORA MISMO</t>
  </si>
  <si>
    <t>factores definidos</t>
  </si>
  <si>
    <t>valoraciones hechas</t>
  </si>
  <si>
    <t>de la matriz completado</t>
  </si>
  <si>
    <t>Puede moverse libremente entre los pasos. La guía sugiere un orden; no lo impone.</t>
  </si>
  <si>
    <t>EL RECORRIDO COMPLETO</t>
  </si>
  <si>
    <t>Encuadre</t>
  </si>
  <si>
    <t>Variables</t>
  </si>
  <si>
    <t>Criterio</t>
  </si>
  <si>
    <t>Matriz</t>
  </si>
  <si>
    <t>Resultado</t>
  </si>
  <si>
    <t>Revisión</t>
  </si>
  <si>
    <t>Informe</t>
  </si>
  <si>
    <t>Qué sistema analiza</t>
  </si>
  <si>
    <t>Los factores en juego</t>
  </si>
  <si>
    <t>El acuerdo del panel</t>
  </si>
  <si>
    <t>Su juicio, celda a celda</t>
  </si>
  <si>
    <t>Qué gobierna el sistema</t>
  </si>
  <si>
    <t>Qué merece una segunda mirada</t>
  </si>
  <si>
    <t>El entregable</t>
  </si>
  <si>
    <t>5 min</t>
  </si>
  <si>
    <t>30 min</t>
  </si>
  <si>
    <t>15 min</t>
  </si>
  <si>
    <t>60 min</t>
  </si>
  <si>
    <t>20 min</t>
  </si>
  <si>
    <t>10 min</t>
  </si>
  <si>
    <t>LO ÚNICO QUE NECESITA</t>
  </si>
  <si>
    <t>Una pregunta</t>
  </si>
  <si>
    <t>Entre 8 y 25 factores</t>
  </si>
  <si>
    <t>Dos sesiones</t>
  </si>
  <si>
    <t>Sobre un sistema que quiera entender de verdad.</t>
  </si>
  <si>
    <t>Los elementos que lo describen. Nada más.</t>
  </si>
  <si>
    <t>El estudio completo cabe en unas dos horas.</t>
  </si>
  <si>
    <t>Esta herramienta aplica el método MICMAC conforme al Cahier LIPSOR SR-10 sin recortes, y produce exactamente los mismos resultados que la edición Professional.</t>
  </si>
  <si>
    <t>Consultar el método y sus límites  →</t>
  </si>
  <si>
    <t>ESTADO GLOBAL DEL ESTUDIO</t>
  </si>
  <si>
    <t>Paso 1 de 7</t>
  </si>
  <si>
    <t xml:space="preserve"> 1 · Encuadre </t>
  </si>
  <si>
    <t>◀ Inicio</t>
  </si>
  <si>
    <t>Empecemos por situar el estudio</t>
  </si>
  <si>
    <t>Cuatro respuestas breves sobre qué va a analizar y hasta cuándo mira.</t>
  </si>
  <si>
    <t>Por qué importa: ninguna de estas respuestas entra en el cálculo, pero son las que permiten que otra persona entienda su análisis dentro de seis meses. El horizonte, además, decide después cuándo una relación cuenta como potencial.</t>
  </si>
  <si>
    <t>1 · Título del estudio</t>
  </si>
  <si>
    <t>Una frase que identifique el sistema con precisión.</t>
  </si>
  <si>
    <t/>
  </si>
  <si>
    <t>Ejemplo:  Vulnerabilidad de un puerto comercial ante la infiltración del crimen organizado</t>
  </si>
  <si>
    <t>2 · Pregunta analítica</t>
  </si>
  <si>
    <t>Formúlelo como pregunta. Es lo que el informe responderá.</t>
  </si>
  <si>
    <t>Ejemplo:  ¿Qué factores condicionan realmente la vulnerabilidad del sistema portuario?</t>
  </si>
  <si>
    <t>3 · Horizonte temporal</t>
  </si>
  <si>
    <t>Define qué se considera potencial: una relación posterior al horizonte se registra como 0.</t>
  </si>
  <si>
    <t>Ejemplo:  Horizonte 2030</t>
  </si>
  <si>
    <t>4 · Autor o equipo</t>
  </si>
  <si>
    <t>Persona o unidad que firma el análisis.</t>
  </si>
  <si>
    <t>Ejemplo:  Unidad de Análisis y Prospectiva</t>
  </si>
  <si>
    <t>YA ESTÁ HECHO</t>
  </si>
  <si>
    <t>AHORA TOCA</t>
  </si>
  <si>
    <t>LE QUEDA</t>
  </si>
  <si>
    <t>CONTINUAR AL PASO 2   ▶</t>
  </si>
  <si>
    <t>Paso 2 de 7</t>
  </si>
  <si>
    <t xml:space="preserve"> 2 · Variables </t>
  </si>
  <si>
    <t>Ahora, ¿qué factores describen su sistema?</t>
  </si>
  <si>
    <t>Escriba entre 8 y 25. El código se asigna solo.</t>
  </si>
  <si>
    <t>Por qué importa: todo lo que venga después se calcula sobre esta lista. Un factor mal definido no se detecta luego, y dos que se solapan inflan artificialmente el resultado.</t>
  </si>
  <si>
    <t>CÓD</t>
  </si>
  <si>
    <t>FACTOR</t>
  </si>
  <si>
    <t>QUÉ SE MIDE EXACTAMENTE</t>
  </si>
  <si>
    <t>LO QUE LE VA A COSTAR ESTE ESTUDIO</t>
  </si>
  <si>
    <t>factores</t>
  </si>
  <si>
    <t>valoraciones que hará</t>
  </si>
  <si>
    <t>minutos aproximados</t>
  </si>
  <si>
    <t>REQUISITOS DE ESTE PASO</t>
  </si>
  <si>
    <t>Al menos 8 factores</t>
  </si>
  <si>
    <t>Como máximo 25</t>
  </si>
  <si>
    <t>Sin nombres duplicados</t>
  </si>
  <si>
    <t>Sin nombres casi idénticos</t>
  </si>
  <si>
    <t>Todos con definición</t>
  </si>
  <si>
    <t>CONTINUAR AL PASO 3   ▶</t>
  </si>
  <si>
    <t>Paso 3 de 7</t>
  </si>
  <si>
    <t xml:space="preserve"> 3 · Criterio </t>
  </si>
  <si>
    <t>Antes de valorar, pónganse de acuerdo</t>
  </si>
  <si>
    <t>Ocho casos construidos con sus propios factores. Resuélvanlos juntos.</t>
  </si>
  <si>
    <t>Por qué importa: si cada persona entiende un 3 de forma distinta, la matriz resultante no significa nada. Quince minutos aquí evitan tener que repetirla entera.</t>
  </si>
  <si>
    <t>EL CASO, CON SUS FACTORES</t>
  </si>
  <si>
    <t>ACUERDO</t>
  </si>
  <si>
    <t>QUÉ FIJA</t>
  </si>
  <si>
    <t>Discútanlo en voz alta antes de escribir el valor.</t>
  </si>
  <si>
    <t>1</t>
  </si>
  <si>
    <t>Cuándo se asigna 3</t>
  </si>
  <si>
    <t>2</t>
  </si>
  <si>
    <t>Cuándo se asigna 0</t>
  </si>
  <si>
    <t>3</t>
  </si>
  <si>
    <t>La influencia indirecta se registra 0</t>
  </si>
  <si>
    <t>4</t>
  </si>
  <si>
    <t>Refuerza el caso anterior</t>
  </si>
  <si>
    <t>5</t>
  </si>
  <si>
    <t>Cada sentido se valora aparte</t>
  </si>
  <si>
    <t>6</t>
  </si>
  <si>
    <t>Cuándo se asigna 4</t>
  </si>
  <si>
    <t>7</t>
  </si>
  <si>
    <t>Diferencia entre 1 y 2</t>
  </si>
  <si>
    <t>8</t>
  </si>
  <si>
    <t>El desacuerdo es información</t>
  </si>
  <si>
    <t>Y AHORA, ESCRÍBANLO CON SUS PALABRAS</t>
  </si>
  <si>
    <t>Redáctela el panel con sus palabras. Estará visible mientras valoran la matriz y se adjunta al informe.</t>
  </si>
  <si>
    <t>·</t>
  </si>
  <si>
    <t>Qué entendemos por influencia directa</t>
  </si>
  <si>
    <t>Cuándo asignamos 3 y cuándo 2</t>
  </si>
  <si>
    <t>Cuándo asignamos 4 y con qué horizonte</t>
  </si>
  <si>
    <t>Casos límite y cómo los resolvemos</t>
  </si>
  <si>
    <t>COHERENCIA DE LO ACORDADO</t>
  </si>
  <si>
    <t>Los ocho casos resueltos</t>
  </si>
  <si>
    <t>Sin los ocho, el criterio no queda fijado.</t>
  </si>
  <si>
    <t>La ficha redactada</t>
  </si>
  <si>
    <t>Es lo que se adjunta al informe y permite auditar el estudio.</t>
  </si>
  <si>
    <t>Las influencias mediadas se registran como 0</t>
  </si>
  <si>
    <t>Si el panel las marca como directas, el cálculo indirecto pierde su sentido.</t>
  </si>
  <si>
    <t>El caso potencial se resuelve con 4</t>
  </si>
  <si>
    <t>El 4 señala una relación futura, no una intensidad alta.</t>
  </si>
  <si>
    <t>CONTINUAR AL PASO 4   ▶</t>
  </si>
  <si>
    <t>Paso 4 de 7</t>
  </si>
  <si>
    <t xml:space="preserve"> 4 · Matriz </t>
  </si>
  <si>
    <t>La fila influye sobre la columna  →</t>
  </si>
  <si>
    <t>Qué mide este factor</t>
  </si>
  <si>
    <t>Fila</t>
  </si>
  <si>
    <t>LO QUE ACORDARON EN EL PASO ANTERIOR</t>
  </si>
  <si>
    <t>ANTES DE VALORAR</t>
  </si>
  <si>
    <t>CONTINUAR AL PASO 5   ▶</t>
  </si>
  <si>
    <t>Paso 5 de 7</t>
  </si>
  <si>
    <t xml:space="preserve"> 5 · Resultado </t>
  </si>
  <si>
    <t>Esto es lo que dice su análisis</t>
  </si>
  <si>
    <t>Interpretación automática con los datos de su estudio.</t>
  </si>
  <si>
    <t>Por qué importa: la primera lectura es la que casi nadie ve venir. Son los factores que influyen mucho más de lo que su panel declaró, y aparecen solo al encadenar las relaciones.</t>
  </si>
  <si>
    <t>RESUMEN EJECUTIVO</t>
  </si>
  <si>
    <t>LAS CIFRAS DEL SISTEMA</t>
  </si>
  <si>
    <t>pares posibles</t>
  </si>
  <si>
    <t>con influencia</t>
  </si>
  <si>
    <t>potenciales</t>
  </si>
  <si>
    <t>EL PLANO DE INFLUENCIA Y DEPENDENCIA</t>
  </si>
  <si>
    <t>↑ influye</t>
  </si>
  <si>
    <t>MOTRICES</t>
  </si>
  <si>
    <t>CLAVE</t>
  </si>
  <si>
    <t>AUTÓNOMOS</t>
  </si>
  <si>
    <t>RESULTADO</t>
  </si>
  <si>
    <t>es influido →</t>
  </si>
  <si>
    <t>QUÉ SIGNIFICA CADA ZONA</t>
  </si>
  <si>
    <t>Motrices · entrada</t>
  </si>
  <si>
    <t>Gobiernan el sistema y casi nadie los gobierna. Son el punto de intervención.</t>
  </si>
  <si>
    <t>Clave · enlace</t>
  </si>
  <si>
    <t>Alta influencia y alta dependencia. Inestables: todo cambio se propaga.</t>
  </si>
  <si>
    <t>Síntomas. Se mueven cuando cambian los demás; actuar sobre ellos no cambia el sistema.</t>
  </si>
  <si>
    <t>Autónomos · excluidos</t>
  </si>
  <si>
    <t>Fuera de la dinámica. Ni influyen ni son influidos de forma apreciable.</t>
  </si>
  <si>
    <t>Pelotón</t>
  </si>
  <si>
    <t>No concluyente. El método no permite afirmar su papel.</t>
  </si>
  <si>
    <t>LOS QUE MÁS INFLUYEN Y LOS QUE MÁS DEPENDEN</t>
  </si>
  <si>
    <t>MÁS INFLUYENTES</t>
  </si>
  <si>
    <t>MÁS DEPENDIENTES</t>
  </si>
  <si>
    <t>LO QUE NO SE VEÍA A SIMPLE VISTA</t>
  </si>
  <si>
    <t>DECLARADO</t>
  </si>
  <si>
    <t>REAL</t>
  </si>
  <si>
    <t>LECTURA</t>
  </si>
  <si>
    <t>EL PAPEL DE CADA FACTOR</t>
  </si>
  <si>
    <t>INFLUYE</t>
  </si>
  <si>
    <t>ES INFLUIDO</t>
  </si>
  <si>
    <t>PAPEL Y CÓMO SE LEE</t>
  </si>
  <si>
    <t>SITUACIONES QUE CONVIENE REVISAR</t>
  </si>
  <si>
    <t>LO QUE ESTE ANÁLISIS NO PERMITE AFIRMAR</t>
  </si>
  <si>
    <t>·   La influencia no es causalidad: el método ordena, no demuestra.</t>
  </si>
  <si>
    <t>·   El resultado depende de qué factores eligió, no solo del sistema.</t>
  </si>
  <si>
    <t>·   Refleja el juicio del panel, no una medición del mundo real.</t>
  </si>
  <si>
    <t>CONTINUAR AL PASO 6   ▶</t>
  </si>
  <si>
    <t>Paso 7 de 7</t>
  </si>
  <si>
    <t xml:space="preserve"> 7 · Informe </t>
  </si>
  <si>
    <t>Su informe está listo</t>
  </si>
  <si>
    <t>Compuesto con los datos de su estudio. Revise la conclusión y añada lo que quiera.</t>
  </si>
  <si>
    <t>Por qué importa: esto es lo que entregará. Todo está redactado con sus propias cifras; puede usarlo tal cual o ajustarlo.</t>
  </si>
  <si>
    <t>ANÁLISIS ESTRUCTURAL MICMAC  ·  INFORME DE RESULTADOS</t>
  </si>
  <si>
    <t>1 · RESUMEN EJECUTIVO</t>
  </si>
  <si>
    <t>2 · METODOLOGÍA APLICADA</t>
  </si>
  <si>
    <t>3 · EL ESTUDIO EN CIFRAS</t>
  </si>
  <si>
    <t>4 · LOS FACTORES MÁS INFLUYENTES</t>
  </si>
  <si>
    <t>Ordenados por cuánto influyen sobre el resto. Junto a cada uno, el papel que el método le atribuye.</t>
  </si>
  <si>
    <t>5 · INFLUENCIAS QUE EL PANEL NO DECLARÓ</t>
  </si>
  <si>
    <t>6 · CON QUÉ CRITERIO SE VALORÓ</t>
  </si>
  <si>
    <t>7 · CALIDAD DEL ESTUDIO Y SALVEDADES</t>
  </si>
  <si>
    <t>8 · LO QUE ESTE ANÁLISIS NO PERMITE AFIRMAR</t>
  </si>
  <si>
    <t>·   La influencia no es causalidad: el método ordena los factores, no demuestra relaciones causales.</t>
  </si>
  <si>
    <t>·   El resultado depende de qué factores se eligieron, no solo del sistema analizado.</t>
  </si>
  <si>
    <t>·   Refleja el juicio del panel en el momento del estudio, no una medición del mundo real.</t>
  </si>
  <si>
    <t>·   La clasificación indirecta es una construcción del método, no una observación.</t>
  </si>
  <si>
    <t>9 · OBSERVACIONES DEL ANALISTA</t>
  </si>
  <si>
    <t>◀ Volver al inicio</t>
  </si>
  <si>
    <t>Consulta</t>
  </si>
  <si>
    <t>Ocho dudas, resueltas</t>
  </si>
  <si>
    <t>Consulte lo que necesite. Vuelve exactamente donde estaba.</t>
  </si>
  <si>
    <t>Por qué importa: con estas ocho respuestas puede aplicar el método entero. No hace falta abrir el manual en ningún momento del recorrido.</t>
  </si>
  <si>
    <t>¿Qué significa cada valor?</t>
  </si>
  <si>
    <t>0 sin influencia · 1 débil · 2 media · 3 fuerte · 4 potencial. El 3 significa que un cambio en el factor de la fila produce un cambio claro en el de la columna. El 1 indica un efecto marginal o muy condicionado.</t>
  </si>
  <si>
    <t>¿Por qué el 4 no cuenta como influencia?</t>
  </si>
  <si>
    <t>El 4 no mide intensidad: mide tiempo. Señala una relación que hoy no existe y podría existir dentro de su horizonte. Para el análisis directo se convierte en 0; para el potencial, en 3.</t>
  </si>
  <si>
    <t>¿Qué quiere decir «directamente»?</t>
  </si>
  <si>
    <t>Sin factores intermedios. Si la fila llega a la columna a través de un tercer factor de su lista, la relación es indirecta: escriba 0 y el cálculo la recupera al elevar la matriz. Es el error más frecuente del método.</t>
  </si>
  <si>
    <t>¿Qué es la zona de pelotón?</t>
  </si>
  <si>
    <t>La banda central donde la clasificación no discrimina. Un factor situado ahí no es de entrada, ni de enlace, ni de resultado: el método no permite concluir su papel.</t>
  </si>
  <si>
    <t>¿Por qué cambia la clasificación indirecta?</t>
  </si>
  <si>
    <t>La directa recoge lo que usted declaró. La indirecta encadena esas relaciones y revela influencias que nadie enunció. Elevar la matriz es lo que aporta el método.</t>
  </si>
  <si>
    <t>¿Qué es un factor oculto?</t>
  </si>
  <si>
    <t>El que sube con fuerza de la clasificación directa a la indirecta. Influye mucho más de lo que el panel percibía. Es el hallazgo central de MICMAC.</t>
  </si>
  <si>
    <t>¿Cómo se lee cada papel?</t>
  </si>
  <si>
    <t>Entrada: gobierna el sistema y nadie lo gobierna. Enlace: clave e inestable, todo cambio se propaga. Resultado: síntoma, se mueve cuando cambian los demás. Excluido: fuera de la dinámica.</t>
  </si>
  <si>
    <t>¿Qué densidad es normal?</t>
  </si>
  <si>
    <t>Entre el 20 % y el 25 % de relaciones no nulas. Por debajo del 10 % el sistema puede estar mal delimitado; por encima del 40 %, suelen haberse registrado influencias indirectas como directas.</t>
  </si>
  <si>
    <t>LO QUE ESTA EDICIÓN DECIDE POR USTED</t>
  </si>
  <si>
    <t>Amplitud de la zona de pelotón</t>
  </si>
  <si>
    <t>del recorrido de cada eje</t>
  </si>
  <si>
    <t>Potencia de estabilización</t>
  </si>
  <si>
    <t>MID³, con verificación hasta MID⁴</t>
  </si>
  <si>
    <t>Convención del valor 4</t>
  </si>
  <si>
    <t>Directo: 4 → 0.   Potencial: 4 → 3</t>
  </si>
  <si>
    <t>Son los valores por defecto de la edición Professional. Se declaran porque ninguna decisión de esta herramienta es invisible.</t>
  </si>
  <si>
    <t>DE DÓNDE VIENE EL MÉTODO</t>
  </si>
  <si>
    <t>Godet, M., Durance, P. y Gerber, A. (2008). La prospectiva estratégica para las empresas y los territorios. Cahier LIPSOR SR-10.</t>
  </si>
  <si>
    <t>Esta edición produce exactamente los mismos resultados que MICMAC Professional con los mismos datos.</t>
  </si>
  <si>
    <t>Paso 6 de 7</t>
  </si>
  <si>
    <t>Repasemos su estudio antes de cerrarlo</t>
  </si>
  <si>
    <t>No relea la matriz. Mire solo lo que aparezca señalado.</t>
  </si>
  <si>
    <t>Por qué importa: ninguno de estos indicadores es un aprobado ni un suspenso. Un valor fuera de rango no significa que se haya equivocado: significa que conviene explicarlo en el informe.</t>
  </si>
  <si>
    <t>CÓMO HA QUEDADO SU MATRIZ</t>
  </si>
  <si>
    <t>INDICADOR</t>
  </si>
  <si>
    <t>SU ESTUDIO</t>
  </si>
  <si>
    <t>ESPERABLE</t>
  </si>
  <si>
    <t>QUÉ SIGNIFICA</t>
  </si>
  <si>
    <t>Matriz completa</t>
  </si>
  <si>
    <t>Sí</t>
  </si>
  <si>
    <t>Mientras falten valoraciones, las cifras del paso 5 cambiarán.</t>
  </si>
  <si>
    <t>Densidad</t>
  </si>
  <si>
    <t>20-25 %</t>
  </si>
  <si>
    <t>Por debajo del 10 % el sistema puede estar mal delimitado; por encima del 40 % suele indicar influencias indirectas registradas como directas.</t>
  </si>
  <si>
    <t>Peso del valor 3</t>
  </si>
  <si>
    <t>&lt; 60 %</t>
  </si>
  <si>
    <t>Si casi todo es 3, el panel no está distinguiendo intensidades. Vuelvan al criterio del paso 3.</t>
  </si>
  <si>
    <t>Relaciones potenciales</t>
  </si>
  <si>
    <t>Las que haya</t>
  </si>
  <si>
    <t>El 4 no cuenta como influencia real: se convierte en 0 para el análisis directo.</t>
  </si>
  <si>
    <t>Factores que no influyen</t>
  </si>
  <si>
    <t>0</t>
  </si>
  <si>
    <t>Suele indicar un factor mal definido o ajeno al sistema.</t>
  </si>
  <si>
    <t>Factores que nadie influye</t>
  </si>
  <si>
    <t>Mismo diagnóstico. Un factor aislado distorsiona la lectura.</t>
  </si>
  <si>
    <t>Criterio del panel</t>
  </si>
  <si>
    <t>Sin criterio común los juicios no se pueden agregar.</t>
  </si>
  <si>
    <t>Definiciones escritas</t>
  </si>
  <si>
    <t>Todas</t>
  </si>
  <si>
    <t>Sin ellas el estudio no es reproducible por un tercero.</t>
  </si>
  <si>
    <t>QUÉ CONVIENE MIRAR OTRA VEZ</t>
  </si>
  <si>
    <t>PUNTO</t>
  </si>
  <si>
    <t>QUÉ HACER</t>
  </si>
  <si>
    <t>La matriz está incompleta</t>
  </si>
  <si>
    <t>Complete la valoración antes de dar el estudio por bueno.</t>
  </si>
  <si>
    <t>Densidad fuera de rango</t>
  </si>
  <si>
    <t>Revise si ha registrado influencias indirectas. Justifíquelo en el informe.</t>
  </si>
  <si>
    <t>Predominio del valor 3</t>
  </si>
  <si>
    <t>Vuelva a la ficha de criterio del paso 3.</t>
  </si>
  <si>
    <t>Hay factores aislados</t>
  </si>
  <si>
    <t>Revise su definición en el paso 2.</t>
  </si>
  <si>
    <t>Criterio sin acordar</t>
  </si>
  <si>
    <t>Acuerden los ocho casos del paso 3.</t>
  </si>
  <si>
    <t>Faltan definiciones</t>
  </si>
  <si>
    <t>Escríbalas en el paso 2. Sin ellas el estudio no es reproducible.</t>
  </si>
  <si>
    <t>¿PUEDE DARSE POR CERRADO ESTE ESTUDIO?</t>
  </si>
  <si>
    <t>REQUISITO</t>
  </si>
  <si>
    <t>SI FALTA</t>
  </si>
  <si>
    <t>El encuadre está completo</t>
  </si>
  <si>
    <t>Hay entre 8 y 25 factores</t>
  </si>
  <si>
    <t>Todos los factores tienen definición</t>
  </si>
  <si>
    <t>No hay nombres duplicados</t>
  </si>
  <si>
    <t>El panel acordó los ocho casos</t>
  </si>
  <si>
    <t>La ficha de criterio está redactada</t>
  </si>
  <si>
    <t>La matriz está completa</t>
  </si>
  <si>
    <t>Hay al menos una influencia directa</t>
  </si>
  <si>
    <t>CONTINUAR AL PASO 7   ▶</t>
  </si>
  <si>
    <t>Bloque 3 · Resultados   ·   Clasificación directa   ·   Paso 9 de 22</t>
  </si>
  <si>
    <t>Continuar ▶</t>
  </si>
  <si>
    <t>Bloque 3 · Resultados   ·   Clasificación indirecta   ·   Paso 10 de 22</t>
  </si>
  <si>
    <t>Bloque 3 · Resultados   ·   Clasificación potencial   ·   Paso 11 de 22</t>
  </si>
  <si>
    <t>Bloque 3 · Resultados   ·   Comparativa y convergencia   ·   Paso 12 de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</si>
</sst>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9" x14ac:knownFonts="1">
    <font>
      <sz val="11"/>
      <color rgb="FF0F1B2A"/>
      <name val="Aptos"/>
      <family val="2"/>
      <charset val="1"/>
    </font>
    <font>
      <sz val="10"/>
      <color rgb="FF0F1B2A"/>
      <name val="Aptos"/>
      <charset val="1"/>
    </font>
    <font>
      <b/>
      <sz val="11"/>
      <color rgb="FFFFFFFF"/>
      <name val="Aptos"/>
      <charset val="1"/>
    </font>
    <font>
      <i/>
      <sz val="9"/>
      <color rgb="FF0F1B2A"/>
      <name val="Aptos"/>
      <charset val="1"/>
    </font>
    <font>
      <b/>
      <sz val="16"/>
      <color rgb="FF0A3D6E"/>
      <name val="Aptos"/>
      <charset val="1"/>
    </font>
    <font>
      <i/>
      <sz val="9"/>
      <color rgb="FF5A6675"/>
      <name val="Aptos"/>
      <charset val="1"/>
    </font>
    <font>
      <b/>
      <sz val="10"/>
      <color rgb="FF0F1B2A"/>
      <name val="Aptos"/>
      <charset val="1"/>
    </font>
    <font>
      <b/>
      <sz val="10"/>
      <color rgb="FFFFFFFF"/>
      <name val="Aptos"/>
      <charset val="1"/>
    </font>
    <font>
      <b/>
      <sz val="9"/>
      <color rgb="FFFFFFFF"/>
      <name val="Aptos"/>
      <charset val="1"/>
    </font>
    <font>
      <b/>
      <sz val="9"/>
      <color rgb="FF0F1B2A"/>
      <name val="Aptos"/>
      <charset val="1"/>
    </font>
    <font>
      <b/>
      <sz val="10"/>
      <color rgb="FF0A3D6E"/>
      <name val="Aptos"/>
      <charset val="1"/>
    </font>
    <font>
      <b/>
      <sz val="14"/>
      <color rgb="FFB3261E"/>
      <name val="Aptos"/>
      <charset val="1"/>
    </font>
    <font>
      <b/>
      <sz val="9"/>
      <color rgb="FF94A0AE"/>
      <name val="Aptos"/>
      <family val="2"/>
    </font>
    <font>
      <b/>
      <sz val="14"/>
      <color rgb="FF0A3D6E"/>
      <name val="Aptos"/>
      <family val="2"/>
    </font>
    <font>
      <sz val="10"/>
      <color rgb="FF5A6675"/>
      <name val="Aptos"/>
      <family val="2"/>
    </font>
    <font>
      <b/>
      <sz val="10"/>
      <color rgb="FFFFFFFF"/>
      <name val="Aptos"/>
      <family val="2"/>
    </font>
    <font>
      <b/>
      <sz val="10"/>
      <color rgb="FF0F1B2A"/>
      <name val="Aptos"/>
      <family val="2"/>
    </font>
    <font>
      <sz val="11"/>
      <color rgb="FF0F1B2A"/>
      <name val="Aptos"/>
      <family val="2"/>
    </font>
    <font>
      <i/>
      <sz val="11"/>
      <color rgb="FF3E4A57"/>
      <name val="Aptos"/>
      <family val="2"/>
    </font>
    <font>
      <sz val="11"/>
      <color rgb="FF5A6675"/>
      <name val="Aptos"/>
      <family val="2"/>
    </font>
    <font>
      <b/>
      <sz val="14"/>
      <color rgb="FF0F1B2A"/>
      <name val="Aptos"/>
      <family val="2"/>
    </font>
    <font>
      <sz val="10"/>
      <color rgb="FF9A6212"/>
      <name val="Aptos"/>
      <family val="2"/>
    </font>
    <font>
      <sz val="10"/>
      <color rgb="FFB3261E"/>
      <name val="Aptos"/>
      <family val="2"/>
    </font>
    <font>
      <sz val="11"/>
      <color rgb="FF0F1B2A"/>
      <name val="Aptos"/>
      <family val="2"/>
    </font>
    <font>
      <sz val="9"/>
      <color rgb="FF5A6675"/>
      <name val="Aptos"/>
      <family val="2"/>
    </font>
    <font>
      <b/>
      <sz val="10"/>
      <color rgb="FF0B62B8"/>
      <name val="Aptos"/>
      <family val="2"/>
    </font>
    <font>
      <b/>
      <sz val="10"/>
      <color rgb="FF0B62B8"/>
      <name val="Aptos"/>
      <family val="2"/>
    </font>
    <font>
      <sz val="9"/>
      <color rgb="FF94A0AE"/>
      <name val="Aptos"/>
      <family val="2"/>
    </font>
    <font>
      <b/>
      <sz val="10"/>
      <color rgb="FF0B62B8"/>
      <name val="Aptos"/>
      <family val="2"/>
    </font>
    <font>
      <sz val="11"/>
      <color rgb="FF0F1B2A"/>
      <name val="Aptos"/>
      <family val="2"/>
    </font>
    <font>
      <sz val="11"/>
      <color rgb="FF0F1B2A"/>
      <name val="Aptos"/>
      <family val="2"/>
    </font>
    <font>
      <b/>
      <sz val="11"/>
      <color rgb="FF0F1B2A"/>
      <name val="Aptos"/>
      <family val="2"/>
    </font>
    <font>
      <b/>
      <sz val="10"/>
      <color rgb="FFFFFFFF"/>
      <name val="Aptos"/>
      <family val="2"/>
    </font>
    <font>
      <b/>
      <sz val="10"/>
      <color rgb="FF1E7A4C"/>
      <name val="Aptos"/>
      <family val="2"/>
    </font>
    <font>
      <b/>
      <sz val="10"/>
      <color rgb="FF9A6212"/>
      <name val="Aptos"/>
      <family val="2"/>
    </font>
    <font>
      <b/>
      <sz val="10"/>
      <color rgb="FF0B62B8"/>
      <name val="Aptos"/>
      <family val="2"/>
    </font>
    <font>
      <sz val="9.5"/>
      <color rgb="FF94A0AE"/>
      <name val="Aptos"/>
      <family val="2"/>
    </font>
    <font>
      <sz val="11"/>
      <color rgb="FF94A0AE"/>
      <name val="Aptos"/>
      <family val="2"/>
    </font>
    <font>
      <b/>
      <u/>
      <sz val="10"/>
      <color rgb="FF0B62B8"/>
      <name val="Aptos"/>
      <family val="2"/>
    </font>
    <font>
      <sz val="11"/>
      <color rgb="FF94A0AE"/>
      <name val="Aptos"/>
      <family val="2"/>
    </font>
    <font>
      <b/>
      <sz val="9"/>
      <color rgb="FFFFFFFF"/>
      <name val="Aptos"/>
      <family val="2"/>
    </font>
    <font>
      <sz val="10"/>
      <color rgb="FF0F1B2A"/>
      <name val="Aptos"/>
      <family val="2"/>
    </font>
    <font>
      <b/>
      <sz val="11"/>
      <color rgb="FFFFFFFF"/>
      <name val="Aptos"/>
      <family val="2"/>
    </font>
    <font>
      <sz val="9.5"/>
      <color rgb="FFAFC6DE"/>
      <name val="Aptos"/>
      <family val="2"/>
    </font>
    <font>
      <b/>
      <sz val="10"/>
      <color rgb="FFFFFFFF"/>
      <name val="Aptos"/>
      <family val="2"/>
    </font>
    <font>
      <b/>
      <sz val="9.5"/>
      <color rgb="FF1E7A4C"/>
      <name val="Aptos"/>
      <family val="2"/>
    </font>
    <font>
      <sz val="9.5"/>
      <color rgb="FF94A0AE"/>
      <name val="Aptos"/>
      <family val="2"/>
    </font>
    <font>
      <b/>
      <sz val="26"/>
      <color rgb="FF0A3D6E"/>
      <name val="Aptos"/>
      <family val="2"/>
    </font>
    <font>
      <sz val="12"/>
      <color rgb="FF5A6675"/>
      <name val="Aptos"/>
      <family val="2"/>
    </font>
    <font>
      <b/>
      <sz val="10"/>
      <color rgb="FF94A0AE"/>
      <name val="Aptos"/>
      <family val="2"/>
    </font>
    <font>
      <sz val="9.5"/>
      <color rgb="FF5A6675"/>
      <name val="Aptos"/>
      <family val="2"/>
    </font>
    <font>
      <sz val="13"/>
      <color rgb="FF0F1B2A"/>
      <name val="Aptos"/>
      <family val="2"/>
    </font>
    <font>
      <b/>
      <sz val="15"/>
      <color rgb="FF0A3D6E"/>
      <name val="Aptos"/>
      <family val="2"/>
    </font>
    <font>
      <b/>
      <sz val="11"/>
      <color rgb="FF1E7A4C"/>
      <name val="Aptos"/>
      <family val="2"/>
    </font>
    <font>
      <i/>
      <sz val="9.5"/>
      <color rgb="FF94A0AE"/>
      <name val="Aptos"/>
      <family val="2"/>
    </font>
    <font>
      <b/>
      <sz val="12"/>
      <color rgb="FFFFFFFF"/>
      <name val="Aptos"/>
      <family val="2"/>
    </font>
    <font>
      <sz val="11"/>
      <color rgb="FF0F1B2A"/>
      <name val="Aptos"/>
      <family val="2"/>
    </font>
    <font>
      <sz val="9.5"/>
      <color rgb="FF94A0AE"/>
      <name val="Aptos"/>
      <family val="2"/>
    </font>
    <font>
      <sz val="11"/>
      <color rgb="FF0F1B2A"/>
      <name val="Aptos"/>
      <family val="2"/>
    </font>
    <font>
      <b/>
      <sz val="11"/>
      <color rgb="FF0A3D6E"/>
      <name val="Aptos"/>
      <family val="2"/>
    </font>
    <font>
      <sz val="12"/>
      <color rgb="FF0F1B2A"/>
      <name val="Aptos"/>
      <family val="2"/>
    </font>
    <font>
      <sz val="9"/>
      <color rgb="FF94A0AE"/>
      <name val="Aptos"/>
      <family val="2"/>
    </font>
    <font>
      <sz val="11"/>
      <color rgb="FF0F1B2A"/>
      <name val="Aptos"/>
      <family val="2"/>
    </font>
    <font>
      <b/>
      <sz val="11"/>
      <color rgb="FF0A3D6E"/>
      <name val="Aptos"/>
      <family val="2"/>
    </font>
    <font>
      <b/>
      <sz val="30"/>
      <color rgb="FF0A3D6E"/>
      <name val="Aptos"/>
      <family val="2"/>
    </font>
    <font>
      <b/>
      <sz val="30"/>
      <color rgb="FF0A3D6E"/>
      <name val="Aptos"/>
      <family val="2"/>
    </font>
    <font>
      <sz val="8"/>
      <color rgb="FF94A0AE"/>
      <name val="Aptos"/>
      <family val="2"/>
    </font>
    <font>
      <b/>
      <sz val="9"/>
      <color rgb="FF94A0AE"/>
      <name val="Aptos"/>
      <family val="2"/>
    </font>
    <font>
      <b/>
      <sz val="9"/>
      <color rgb="FF94A0AE"/>
      <name val="Aptos"/>
      <family val="2"/>
    </font>
    <font>
      <b/>
      <sz val="9"/>
      <color rgb="FF94A0AE"/>
      <name val="Aptos"/>
      <family val="2"/>
    </font>
    <font>
      <sz val="13"/>
      <color rgb="FF5A6675"/>
      <name val="Aptos"/>
      <family val="2"/>
    </font>
    <font>
      <sz val="11"/>
      <color rgb="FF0F1B2A"/>
      <name val="Aptos"/>
      <family val="2"/>
    </font>
    <font>
      <b/>
      <sz val="15"/>
      <color rgb="FF0A3D6E"/>
      <name val="Aptos"/>
      <family val="2"/>
    </font>
    <font>
      <sz val="10"/>
      <color rgb="FF3A3F9E"/>
      <name val="Aptos"/>
      <family val="2"/>
    </font>
    <font>
      <b/>
      <sz val="11"/>
      <color rgb="FF0F1B2A"/>
      <name val="Aptos"/>
      <family val="2"/>
    </font>
    <font>
      <sz val="11"/>
      <color rgb="FF0F1B2A"/>
      <name val="Aptos"/>
      <family val="2"/>
    </font>
    <font>
      <sz val="11"/>
      <color rgb="FF0F1B2A"/>
      <name val="Aptos"/>
      <family val="2"/>
    </font>
    <font>
      <sz val="10"/>
      <color rgb="FF5A6675"/>
      <name val="Aptos"/>
      <family val="2"/>
    </font>
    <font>
      <sz val="8"/>
      <color rgb="FF94A0AE"/>
      <name val="Aptos"/>
      <family val="2"/>
    </font>
    <font>
      <b/>
      <sz val="10"/>
      <color rgb="FF1E7A4C"/>
      <name val="Aptos"/>
      <family val="2"/>
    </font>
    <font>
      <sz val="10"/>
      <color rgb="FF94A0AE"/>
      <name val="Aptos"/>
      <family val="2"/>
    </font>
    <font>
      <b/>
      <sz val="24"/>
      <color rgb="FF0A3D6E"/>
      <name val="Aptos"/>
      <family val="2"/>
    </font>
    <font>
      <sz val="12"/>
      <color rgb="FF5A6675"/>
      <name val="Aptos"/>
      <family val="2"/>
    </font>
    <font>
      <b/>
      <sz val="9"/>
      <color rgb="FF94A0AE"/>
      <name val="Aptos"/>
      <family val="2"/>
    </font>
    <font>
      <sz val="8"/>
      <color rgb="FF94A0AE"/>
      <name val="Aptos"/>
      <family val="2"/>
    </font>
    <font>
      <b/>
      <sz val="9"/>
      <color rgb="FF3A3F9E"/>
      <name val="Aptos"/>
      <family val="2"/>
    </font>
    <font>
      <b/>
      <sz val="9"/>
      <color rgb="FF5A6675"/>
      <name val="Aptos"/>
      <family val="2"/>
    </font>
    <font>
      <b/>
      <sz val="9"/>
      <color rgb="FF0F1B2A"/>
      <name val="Aptos"/>
      <family val="2"/>
    </font>
    <font>
      <b/>
      <sz val="12"/>
      <color rgb="FF0A3D6E"/>
      <name val="Aptos"/>
      <family val="2"/>
    </font>
  </fonts>
  <fills count="26">
    <fill>
      <patternFill patternType="none"/>
    </fill>
    <fill>
      <patternFill patternType="gray125"/>
    </fill>
    <fill>
      <patternFill patternType="solid">
        <fgColor rgb="FF0B62B8"/>
        <bgColor rgb="FF0B62B8"/>
      </patternFill>
    </fill>
    <fill>
      <patternFill patternType="solid">
        <fgColor rgb="FFF7F9FB"/>
        <bgColor rgb="FFF2F7FD"/>
      </patternFill>
    </fill>
    <fill>
      <patternFill patternType="solid">
        <fgColor rgb="FF0A3D6E"/>
        <bgColor rgb="FF44546A"/>
      </patternFill>
    </fill>
    <fill>
      <patternFill patternType="solid">
        <fgColor rgb="FF0F1B2A"/>
        <bgColor rgb="FF1A1A1A"/>
      </patternFill>
    </fill>
    <fill>
      <patternFill patternType="solid">
        <fgColor rgb="FFFBF1DF"/>
        <bgColor indexed="64"/>
      </patternFill>
    </fill>
    <fill>
      <patternFill patternType="solid">
        <fgColor rgb="FFF2F7FD"/>
        <bgColor indexed="64"/>
      </patternFill>
    </fill>
    <fill>
      <patternFill patternType="solid">
        <fgColor rgb="FFF7F9FB"/>
        <bgColor indexed="64"/>
      </patternFill>
    </fill>
    <fill>
      <patternFill patternType="solid">
        <fgColor rgb="FFEDF0F4"/>
        <bgColor indexed="64"/>
      </patternFill>
    </fill>
    <fill>
      <patternFill patternType="solid">
        <fgColor rgb="FF0A3D6E"/>
        <bgColor indexed="64"/>
      </patternFill>
    </fill>
    <fill>
      <patternFill patternType="solid">
        <fgColor rgb="FFFBEAE8"/>
        <bgColor indexed="64"/>
      </patternFill>
    </fill>
    <fill>
      <patternFill patternType="solid">
        <fgColor rgb="FFEDF0F4"/>
        <bgColor indexed="64"/>
      </patternFill>
    </fill>
    <fill>
      <patternFill patternType="solid">
        <fgColor rgb="FFF2F7FD"/>
        <bgColor indexed="64"/>
      </patternFill>
    </fill>
    <fill>
      <patternFill patternType="solid">
        <fgColor rgb="FF0A3D6E"/>
        <bgColor indexed="64"/>
      </patternFill>
    </fill>
    <fill>
      <patternFill patternType="solid">
        <fgColor rgb="FFE8F4EE"/>
        <bgColor indexed="64"/>
      </patternFill>
    </fill>
    <fill>
      <patternFill patternType="solid">
        <fgColor rgb="FFFBF1DF"/>
        <bgColor indexed="64"/>
      </patternFill>
    </fill>
    <fill>
      <patternFill patternType="solid">
        <fgColor rgb="FFE9F1FA"/>
        <bgColor indexed="64"/>
      </patternFill>
    </fill>
    <fill>
      <patternFill patternType="solid">
        <fgColor rgb="FF0A3D6E"/>
        <bgColor indexed="64"/>
      </patternFill>
    </fill>
    <fill>
      <patternFill patternType="solid">
        <fgColor rgb="FF3A3F9E"/>
        <bgColor indexed="64"/>
      </patternFill>
    </fill>
    <fill>
      <patternFill patternType="solid">
        <fgColor rgb="FFF7F9FB"/>
        <bgColor indexed="64"/>
      </patternFill>
    </fill>
    <fill>
      <patternFill patternType="solid">
        <fgColor rgb="FF0B62B8"/>
        <bgColor indexed="64"/>
      </patternFill>
    </fill>
    <fill>
      <patternFill patternType="solid">
        <fgColor rgb="FFEFF1F9"/>
        <bgColor indexed="64"/>
      </patternFill>
    </fill>
    <fill>
      <patternFill patternType="solid">
        <fgColor rgb="FFE9F1FA"/>
        <bgColor indexed="64"/>
      </patternFill>
    </fill>
    <fill>
      <patternFill patternType="solid">
        <fgColor rgb="FFF7F9FB"/>
        <bgColor indexed="64"/>
      </patternFill>
    </fill>
    <fill>
      <patternFill patternType="solid">
        <fgColor rgb="FFFCFCFD"/>
        <bgColor indexed="64"/>
      </patternFill>
    </fill>
  </fills>
  <borders count="20">
    <border>
      <left/>
      <right/>
      <top/>
      <bottom/>
      <diagonal/>
    </border>
    <border>
      <left style="thin">
        <color rgb="FFB4C6E7"/>
      </left>
      <right style="thin">
        <color rgb="FFB4C6E7"/>
      </right>
      <top style="thin">
        <color rgb="FFB4C6E7"/>
      </top>
      <bottom style="thin">
        <color rgb="FFB4C6E7"/>
      </bottom>
      <diagonal/>
    </border>
    <border>
      <left style="thin">
        <color rgb="FF0B62B8"/>
      </left>
      <right style="thin">
        <color rgb="FF0B62B8"/>
      </right>
      <top style="thin">
        <color rgb="FF0B62B8"/>
      </top>
      <bottom style="thin">
        <color rgb="FF0B62B8"/>
      </bottom>
      <diagonal/>
    </border>
    <border>
      <left/>
      <right/>
      <top/>
      <bottom style="thin">
        <color rgb="FFD8DEE6"/>
      </bottom>
      <diagonal/>
    </border>
    <border>
      <left style="medium">
        <color rgb="FF9A6212"/>
      </left>
      <right/>
      <top/>
      <bottom/>
      <diagonal/>
    </border>
    <border>
      <left/>
      <right/>
      <top/>
      <bottom style="thin">
        <color rgb="FFD8DEE6"/>
      </bottom>
      <diagonal/>
    </border>
    <border>
      <left/>
      <right/>
      <top/>
      <bottom style="thin">
        <color rgb="FFD8DEE6"/>
      </bottom>
      <diagonal/>
    </border>
    <border>
      <left/>
      <right/>
      <top/>
      <bottom style="thin">
        <color rgb="FFD8DEE6"/>
      </bottom>
      <diagonal/>
    </border>
    <border>
      <left style="thin">
        <color rgb="FF0B62B8"/>
      </left>
      <right style="thin">
        <color rgb="FF0B62B8"/>
      </right>
      <top style="thin">
        <color rgb="FF0B62B8"/>
      </top>
      <bottom style="thin">
        <color rgb="FF0B62B8"/>
      </bottom>
      <diagonal/>
    </border>
    <border>
      <left style="thin">
        <color rgb="FFD8DEE6"/>
      </left>
      <right style="thin">
        <color rgb="FFD8DEE6"/>
      </right>
      <top style="thin">
        <color rgb="FFD8DEE6"/>
      </top>
      <bottom style="thin">
        <color rgb="FFD8DEE6"/>
      </bottom>
      <diagonal/>
    </border>
    <border>
      <left style="medium">
        <color rgb="FF1E7A4C"/>
      </left>
      <right/>
      <top/>
      <bottom/>
      <diagonal/>
    </border>
    <border>
      <left style="medium">
        <color rgb="FF9A6212"/>
      </left>
      <right/>
      <top/>
      <bottom/>
      <diagonal/>
    </border>
    <border>
      <left style="medium">
        <color rgb="FF0B62B8"/>
      </left>
      <right/>
      <top/>
      <bottom/>
      <diagonal/>
    </border>
    <border>
      <left style="thin">
        <color rgb="FFD8DEE6"/>
      </left>
      <right style="thin">
        <color rgb="FFD8DEE6"/>
      </right>
      <top style="thin">
        <color rgb="FFD8DEE6"/>
      </top>
      <bottom style="thin">
        <color rgb="FFD8DEE6"/>
      </bottom>
      <diagonal/>
    </border>
    <border>
      <left/>
      <right/>
      <top/>
      <bottom style="thin">
        <color rgb="FF0A3D6E"/>
      </bottom>
      <diagonal/>
    </border>
    <border>
      <left style="medium">
        <color rgb="FF0F1B2A"/>
      </left>
      <right/>
      <top/>
      <bottom style="medium">
        <color rgb="FF0F1B2A"/>
      </bottom>
      <diagonal/>
    </border>
    <border>
      <left style="medium">
        <color rgb="FF0F1B2A"/>
      </left>
      <right/>
      <top/>
      <bottom/>
      <diagonal/>
    </border>
    <border>
      <left/>
      <right/>
      <top/>
      <bottom style="medium">
        <color rgb="FF0F1B2A"/>
      </bottom>
      <diagonal/>
    </border>
    <border>
      <left style="thin">
        <color rgb="FF94A0AE"/>
      </left>
      <right/>
      <top/>
      <bottom/>
      <diagonal/>
    </border>
    <border>
      <left/>
      <right/>
      <top/>
      <bottom style="thin">
        <color rgb="FF94A0AE"/>
      </bottom>
      <diagonal/>
    </border>
  </borders>
  <cellStyleXfs count="15">
    <xf numFmtId="0" fontId="0" fillId="0" borderId="0"/>
    <xf numFmtId="0" fontId="13" fillId="0" borderId="0"/>
    <xf numFmtId="0" fontId="14" fillId="0" borderId="0"/>
    <xf numFmtId="0" fontId="15" fillId="10" borderId="0"/>
    <xf numFmtId="0" fontId="16" fillId="9" borderId="5"/>
    <xf numFmtId="0" fontId="17" fillId="7" borderId="2"/>
    <xf numFmtId="0" fontId="18" fillId="8" borderId="5"/>
    <xf numFmtId="0" fontId="19" fillId="9" borderId="5"/>
    <xf numFmtId="0" fontId="20" fillId="0" borderId="3"/>
    <xf numFmtId="0" fontId="21" fillId="6" borderId="4"/>
    <xf numFmtId="0" fontId="22" fillId="11" borderId="0"/>
    <xf numFmtId="0" fontId="12" fillId="0" borderId="3"/>
    <xf numFmtId="0" fontId="23" fillId="0" borderId="5"/>
    <xf numFmtId="0" fontId="24" fillId="0" borderId="0"/>
    <xf numFmtId="0" fontId="25" fillId="0" borderId="0"/>
  </cellStyleXfs>
  <cellXfs count="121">
    <xf numFmtId="0" fontId="0" fillId="0" borderId="0" xfId="0"/>
    <xf numFmtId="0" fontId="6"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1" fillId="0" borderId="0" xfId="0" applyFont="1" applyAlignment="1">
      <alignment horizontal="left" vertical="top" wrapText="1"/>
    </xf>
    <xf numFmtId="0" fontId="2" fillId="2" borderId="0" xfId="0" applyFont="1" applyFill="1" applyAlignment="1">
      <alignment horizontal="left" vertical="center" wrapText="1"/>
    </xf>
    <xf numFmtId="0" fontId="7"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0" fontId="10" fillId="0" borderId="0" xfId="0" applyFont="1"/>
    <xf numFmtId="0" fontId="11" fillId="0" borderId="0" xfId="0" applyFont="1"/>
    <xf numFmtId="0" fontId="3" fillId="0" borderId="0" xfId="0" applyFont="1"/>
    <xf numFmtId="9" fontId="0" fillId="0" borderId="0" xfId="0" applyNumberFormat="1"/>
    <xf numFmtId="0" fontId="8" fillId="5" borderId="0" xfId="0" applyFont="1" applyFill="1"/>
    <xf numFmtId="0" fontId="9" fillId="0" borderId="0" xfId="0" applyFont="1"/>
    <xf numFmtId="0" fontId="26" fillId="0" borderId="6" xfId="0" applyFont="1" applyBorder="1" applyAlignment="1">
      <alignment vertical="center"/>
    </xf>
    <xf numFmtId="0" fontId="27" fillId="0" borderId="6" xfId="0" applyFont="1" applyBorder="1" applyAlignment="1">
      <alignment vertical="center"/>
    </xf>
    <xf numFmtId="0" fontId="28" fillId="0" borderId="6" xfId="0" applyFont="1" applyBorder="1" applyAlignment="1">
      <alignment horizontal="right" vertical="center"/>
    </xf>
    <xf numFmtId="0" fontId="4" fillId="0" borderId="0" xfId="0" applyFont="1" applyAlignment="1">
      <alignment horizontal="left" vertical="center"/>
    </xf>
    <xf numFmtId="0" fontId="5" fillId="0" borderId="0" xfId="0" applyFont="1" applyAlignment="1">
      <alignment horizontal="left" vertical="center"/>
    </xf>
    <xf numFmtId="0" fontId="29" fillId="0" borderId="7" xfId="0" applyFont="1" applyBorder="1" applyAlignment="1">
      <alignment vertical="center" wrapText="1"/>
    </xf>
    <xf numFmtId="0" fontId="30" fillId="13" borderId="8" xfId="0" applyFont="1" applyFill="1" applyBorder="1" applyAlignment="1" applyProtection="1">
      <alignment vertical="top" wrapText="1"/>
      <protection locked="0"/>
    </xf>
    <xf numFmtId="0" fontId="31" fillId="13" borderId="8" xfId="0" applyFont="1" applyFill="1" applyBorder="1" applyAlignment="1" applyProtection="1">
      <alignment horizontal="center" vertical="center"/>
      <protection locked="0"/>
    </xf>
    <xf numFmtId="0" fontId="32" fillId="14" borderId="0" xfId="0" applyFont="1" applyFill="1" applyAlignment="1">
      <alignment vertical="center" wrapText="1"/>
    </xf>
    <xf numFmtId="0" fontId="32" fillId="14" borderId="0" xfId="0" applyFont="1" applyFill="1" applyAlignment="1">
      <alignment horizontal="center" vertical="center" wrapText="1"/>
    </xf>
    <xf numFmtId="9" fontId="31" fillId="0" borderId="7" xfId="0" applyNumberFormat="1" applyFont="1" applyBorder="1" applyAlignment="1">
      <alignment horizontal="center" vertical="center"/>
    </xf>
    <xf numFmtId="0" fontId="29" fillId="16" borderId="11" xfId="0" applyFont="1" applyFill="1" applyBorder="1" applyAlignment="1">
      <alignment vertical="top" wrapText="1"/>
    </xf>
    <xf numFmtId="0" fontId="34" fillId="16" borderId="11" xfId="0" applyFont="1" applyFill="1" applyBorder="1" applyAlignment="1">
      <alignment vertical="center"/>
    </xf>
    <xf numFmtId="0" fontId="36" fillId="0" borderId="0" xfId="0" applyFont="1" applyAlignment="1">
      <alignment vertical="center" wrapText="1"/>
    </xf>
    <xf numFmtId="0" fontId="36" fillId="0" borderId="0" xfId="0" applyFont="1" applyAlignment="1">
      <alignment horizontal="center" vertical="center"/>
    </xf>
    <xf numFmtId="0" fontId="37" fillId="12" borderId="7" xfId="0" applyFont="1" applyFill="1" applyBorder="1" applyAlignment="1">
      <alignment horizontal="center" vertical="center"/>
    </xf>
    <xf numFmtId="0" fontId="39" fillId="12" borderId="13" xfId="0" applyFont="1" applyFill="1" applyBorder="1" applyAlignment="1">
      <alignment horizontal="center" vertical="center"/>
    </xf>
    <xf numFmtId="0" fontId="40" fillId="14" borderId="0" xfId="0" applyFont="1" applyFill="1" applyAlignment="1">
      <alignment horizontal="center" vertical="center"/>
    </xf>
    <xf numFmtId="0" fontId="41" fillId="0" borderId="7" xfId="0" applyFont="1" applyBorder="1" applyAlignment="1">
      <alignment vertical="center" wrapText="1"/>
    </xf>
    <xf numFmtId="0" fontId="42" fillId="18" borderId="0" xfId="0" applyFont="1" applyFill="1" applyAlignment="1">
      <alignment vertical="center"/>
    </xf>
    <xf numFmtId="0" fontId="43" fillId="18" borderId="0" xfId="0" applyFont="1" applyFill="1" applyAlignment="1">
      <alignment horizontal="right" vertical="center"/>
    </xf>
    <xf numFmtId="0" fontId="44" fillId="19" borderId="0" xfId="0" applyFont="1" applyFill="1" applyAlignment="1">
      <alignment horizontal="center" vertical="center"/>
    </xf>
    <xf numFmtId="0" fontId="45" fillId="0" borderId="0" xfId="0" applyFont="1" applyAlignment="1">
      <alignment horizontal="center" vertical="center"/>
    </xf>
    <xf numFmtId="0" fontId="46" fillId="0" borderId="0" xfId="0" applyFont="1" applyAlignment="1">
      <alignment horizontal="center" vertical="center"/>
    </xf>
    <xf numFmtId="0" fontId="56" fillId="20" borderId="9" xfId="0" applyFont="1" applyFill="1" applyBorder="1" applyAlignment="1">
      <alignment vertical="top" wrapText="1"/>
    </xf>
    <xf numFmtId="0" fontId="51" fillId="0" borderId="0" xfId="0" applyFont="1" applyAlignment="1">
      <alignment vertical="center" wrapText="1"/>
    </xf>
    <xf numFmtId="0" fontId="58" fillId="0" borderId="0" xfId="0" applyFont="1" applyAlignment="1">
      <alignment horizontal="center" vertical="center"/>
    </xf>
    <xf numFmtId="0" fontId="59" fillId="0" borderId="0" xfId="0" applyFont="1" applyAlignment="1">
      <alignment vertical="center"/>
    </xf>
    <xf numFmtId="0" fontId="61" fillId="0" borderId="7" xfId="0" applyFont="1" applyBorder="1" applyAlignment="1">
      <alignment vertical="center"/>
    </xf>
    <xf numFmtId="0" fontId="49" fillId="20" borderId="0" xfId="0" applyFont="1" applyFill="1" applyAlignment="1">
      <alignment horizontal="center" vertical="center"/>
    </xf>
    <xf numFmtId="0" fontId="50" fillId="20" borderId="0" xfId="0" applyFont="1" applyFill="1" applyAlignment="1">
      <alignment horizontal="center" vertical="center" wrapText="1"/>
    </xf>
    <xf numFmtId="0" fontId="62" fillId="20" borderId="0" xfId="0" applyFont="1" applyFill="1" applyAlignment="1">
      <alignment vertical="top" wrapText="1"/>
    </xf>
    <xf numFmtId="0" fontId="63" fillId="20" borderId="0" xfId="0" applyFont="1" applyFill="1" applyAlignment="1">
      <alignment vertical="top"/>
    </xf>
    <xf numFmtId="0" fontId="66" fillId="0" borderId="0" xfId="0" applyFont="1" applyAlignment="1">
      <alignment horizontal="center" vertical="center"/>
    </xf>
    <xf numFmtId="0" fontId="68" fillId="0" borderId="7" xfId="0" applyFont="1" applyBorder="1" applyAlignment="1">
      <alignment vertical="center"/>
    </xf>
    <xf numFmtId="0" fontId="69" fillId="0" borderId="7" xfId="0" applyFont="1" applyBorder="1" applyAlignment="1">
      <alignment horizontal="center" vertical="center"/>
    </xf>
    <xf numFmtId="0" fontId="74" fillId="0" borderId="0" xfId="0" applyFont="1" applyAlignment="1">
      <alignment vertical="top" wrapText="1"/>
    </xf>
    <xf numFmtId="0" fontId="76" fillId="0" borderId="0" xfId="0" applyFont="1" applyAlignment="1">
      <alignment horizontal="center" vertical="center"/>
    </xf>
    <xf numFmtId="0" fontId="77" fillId="0" borderId="0" xfId="0" applyFont="1" applyAlignment="1">
      <alignment vertical="top" wrapText="1"/>
    </xf>
    <xf numFmtId="0" fontId="78" fillId="0" borderId="7" xfId="0" applyFont="1" applyBorder="1" applyAlignment="1">
      <alignment vertical="center"/>
    </xf>
    <xf numFmtId="0" fontId="79" fillId="0" borderId="0" xfId="0" applyFont="1" applyAlignment="1">
      <alignment horizontal="center" vertical="center"/>
    </xf>
    <xf numFmtId="0" fontId="80" fillId="0" borderId="0" xfId="0" applyFont="1" applyAlignment="1">
      <alignment horizontal="center" vertical="center"/>
    </xf>
    <xf numFmtId="0" fontId="85" fillId="22" borderId="0" xfId="0" applyFont="1" applyFill="1" applyAlignment="1">
      <alignment horizontal="center" vertical="center"/>
    </xf>
    <xf numFmtId="0" fontId="85" fillId="23" borderId="0" xfId="0" applyFont="1" applyFill="1" applyAlignment="1">
      <alignment horizontal="center" vertical="center"/>
    </xf>
    <xf numFmtId="0" fontId="85" fillId="24" borderId="0" xfId="0" applyFont="1" applyFill="1" applyAlignment="1">
      <alignment horizontal="center" vertical="center"/>
    </xf>
    <xf numFmtId="0" fontId="85" fillId="25" borderId="0" xfId="0" applyFont="1" applyFill="1" applyAlignment="1">
      <alignment horizontal="center" vertical="center"/>
    </xf>
    <xf numFmtId="0" fontId="85" fillId="22" borderId="16" xfId="0" applyFont="1" applyFill="1" applyBorder="1" applyAlignment="1">
      <alignment horizontal="center" vertical="center"/>
    </xf>
    <xf numFmtId="0" fontId="85" fillId="24" borderId="16" xfId="0" applyFont="1" applyFill="1" applyBorder="1" applyAlignment="1">
      <alignment horizontal="center" vertical="center"/>
    </xf>
    <xf numFmtId="0" fontId="85" fillId="24" borderId="17" xfId="0" applyFont="1" applyFill="1" applyBorder="1" applyAlignment="1">
      <alignment horizontal="center" vertical="center"/>
    </xf>
    <xf numFmtId="0" fontId="85" fillId="25" borderId="17" xfId="0" applyFont="1" applyFill="1" applyBorder="1" applyAlignment="1">
      <alignment horizontal="center" vertical="center"/>
    </xf>
    <xf numFmtId="0" fontId="85" fillId="24" borderId="15" xfId="0" applyFont="1" applyFill="1" applyBorder="1" applyAlignment="1">
      <alignment horizontal="center" vertical="center"/>
    </xf>
    <xf numFmtId="0" fontId="85" fillId="22" borderId="18" xfId="0" applyFont="1" applyFill="1" applyBorder="1" applyAlignment="1">
      <alignment horizontal="center" vertical="center"/>
    </xf>
    <xf numFmtId="0" fontId="85" fillId="24" borderId="18" xfId="0" applyFont="1" applyFill="1" applyBorder="1" applyAlignment="1">
      <alignment horizontal="center" vertical="center"/>
    </xf>
    <xf numFmtId="0" fontId="85" fillId="24" borderId="19" xfId="0" applyFont="1" applyFill="1" applyBorder="1" applyAlignment="1">
      <alignment horizontal="center" vertical="center"/>
    </xf>
    <xf numFmtId="0" fontId="85" fillId="25" borderId="19" xfId="0" applyFont="1" applyFill="1" applyBorder="1" applyAlignment="1">
      <alignment horizontal="center" vertical="center"/>
    </xf>
    <xf numFmtId="0" fontId="87" fillId="0" borderId="0" xfId="0" applyFont="1" applyAlignment="1">
      <alignment horizontal="center" vertical="center"/>
    </xf>
    <xf numFmtId="0" fontId="42" fillId="18" borderId="0" xfId="0" applyFont="1" applyFill="1" applyAlignment="1">
      <alignment vertical="center"/>
    </xf>
    <xf numFmtId="0" fontId="48" fillId="0" borderId="0" xfId="0" applyFont="1" applyAlignment="1">
      <alignment vertical="center" wrapText="1"/>
    </xf>
    <xf numFmtId="0" fontId="0" fillId="0" borderId="0" xfId="0"/>
    <xf numFmtId="0" fontId="47" fillId="0" borderId="0" xfId="0" applyFont="1" applyAlignment="1">
      <alignment vertical="center"/>
    </xf>
    <xf numFmtId="0" fontId="67" fillId="0" borderId="0" xfId="0" applyFont="1" applyAlignment="1">
      <alignment horizontal="left" vertical="center"/>
    </xf>
    <xf numFmtId="0" fontId="64" fillId="0" borderId="0" xfId="0" applyFont="1" applyAlignment="1">
      <alignment horizontal="left" vertical="center"/>
    </xf>
    <xf numFmtId="164" fontId="65" fillId="0" borderId="0" xfId="0" applyNumberFormat="1" applyFont="1" applyAlignment="1">
      <alignment horizontal="left" vertical="center"/>
    </xf>
    <xf numFmtId="0" fontId="35" fillId="17" borderId="12" xfId="0" applyFont="1" applyFill="1" applyBorder="1" applyAlignment="1">
      <alignment vertical="center"/>
    </xf>
    <xf numFmtId="0" fontId="29" fillId="17" borderId="12" xfId="0" applyFont="1" applyFill="1" applyBorder="1" applyAlignment="1">
      <alignment vertical="top" wrapText="1"/>
    </xf>
    <xf numFmtId="0" fontId="55" fillId="21" borderId="0" xfId="0" applyFont="1" applyFill="1" applyAlignment="1">
      <alignment horizontal="center" vertical="center"/>
    </xf>
    <xf numFmtId="0" fontId="57" fillId="0" borderId="0" xfId="0" applyFont="1" applyAlignment="1">
      <alignment vertical="top" wrapText="1"/>
    </xf>
    <xf numFmtId="0" fontId="74" fillId="0" borderId="0" xfId="0" applyFont="1" applyAlignment="1">
      <alignment vertical="top" wrapText="1"/>
    </xf>
    <xf numFmtId="0" fontId="77" fillId="0" borderId="0" xfId="0" applyFont="1" applyAlignment="1">
      <alignment vertical="top" wrapText="1"/>
    </xf>
    <xf numFmtId="0" fontId="38" fillId="0" borderId="0" xfId="0" applyFont="1" applyAlignment="1">
      <alignment vertical="center"/>
    </xf>
    <xf numFmtId="0" fontId="88" fillId="0" borderId="0" xfId="0" applyFont="1" applyAlignment="1">
      <alignment vertical="center" wrapText="1"/>
    </xf>
    <xf numFmtId="0" fontId="70" fillId="0" borderId="0" xfId="0" applyFont="1" applyAlignment="1">
      <alignment vertical="top" wrapText="1"/>
    </xf>
    <xf numFmtId="0" fontId="73" fillId="0" borderId="0" xfId="0" applyFont="1" applyAlignment="1">
      <alignment vertical="top" wrapText="1"/>
    </xf>
    <xf numFmtId="0" fontId="59" fillId="0" borderId="0" xfId="0" applyFont="1" applyAlignment="1">
      <alignment vertical="center"/>
    </xf>
    <xf numFmtId="0" fontId="60" fillId="13" borderId="8" xfId="0" applyFont="1" applyFill="1" applyBorder="1" applyAlignment="1" applyProtection="1">
      <alignment vertical="center" wrapText="1"/>
      <protection locked="0"/>
    </xf>
    <xf numFmtId="0" fontId="53" fillId="0" borderId="0" xfId="0" applyFont="1" applyAlignment="1">
      <alignment vertical="center"/>
    </xf>
    <xf numFmtId="0" fontId="54" fillId="0" borderId="0" xfId="0" applyFont="1" applyAlignment="1">
      <alignment vertical="center" wrapText="1"/>
    </xf>
    <xf numFmtId="0" fontId="75" fillId="0" borderId="0" xfId="0" applyFont="1" applyAlignment="1">
      <alignment vertical="top" wrapText="1"/>
    </xf>
    <xf numFmtId="0" fontId="79" fillId="0" borderId="0" xfId="0" applyFont="1" applyAlignment="1">
      <alignment horizontal="center" vertical="center"/>
    </xf>
    <xf numFmtId="0" fontId="78" fillId="0" borderId="7" xfId="0" applyFont="1" applyBorder="1" applyAlignment="1">
      <alignment vertical="center"/>
    </xf>
    <xf numFmtId="0" fontId="33" fillId="15" borderId="10" xfId="0" applyFont="1" applyFill="1" applyBorder="1" applyAlignment="1">
      <alignment vertical="center"/>
    </xf>
    <xf numFmtId="0" fontId="29" fillId="15" borderId="10" xfId="0" applyFont="1" applyFill="1" applyBorder="1" applyAlignment="1">
      <alignment vertical="top" wrapText="1"/>
    </xf>
    <xf numFmtId="0" fontId="36" fillId="0" borderId="0" xfId="0" applyFont="1" applyAlignment="1">
      <alignment vertical="center" wrapText="1"/>
    </xf>
    <xf numFmtId="0" fontId="30" fillId="13" borderId="8" xfId="0" applyFont="1" applyFill="1" applyBorder="1" applyAlignment="1" applyProtection="1">
      <alignment vertical="top" wrapText="1"/>
      <protection locked="0"/>
    </xf>
    <xf numFmtId="0" fontId="52" fillId="0" borderId="0" xfId="0" applyFont="1" applyAlignment="1">
      <alignment vertical="center"/>
    </xf>
    <xf numFmtId="0" fontId="56" fillId="20" borderId="9" xfId="0" applyFont="1" applyFill="1" applyBorder="1" applyAlignment="1">
      <alignment vertical="top" wrapText="1"/>
    </xf>
    <xf numFmtId="0" fontId="34" fillId="16" borderId="11" xfId="0" applyFont="1" applyFill="1" applyBorder="1" applyAlignment="1">
      <alignment vertical="center"/>
    </xf>
    <xf numFmtId="0" fontId="29" fillId="16" borderId="11" xfId="0" applyFont="1" applyFill="1" applyBorder="1" applyAlignment="1">
      <alignment vertical="top" wrapText="1"/>
    </xf>
    <xf numFmtId="0" fontId="45" fillId="0" borderId="0" xfId="0" applyFont="1" applyAlignment="1">
      <alignment horizontal="center" vertical="center"/>
    </xf>
    <xf numFmtId="0" fontId="46" fillId="0" borderId="0" xfId="0" applyFont="1" applyAlignment="1">
      <alignment horizontal="center" vertical="center"/>
    </xf>
    <xf numFmtId="0" fontId="44" fillId="19" borderId="0" xfId="0" applyFont="1" applyFill="1" applyAlignment="1">
      <alignment horizontal="center" vertical="center"/>
    </xf>
    <xf numFmtId="0" fontId="72" fillId="0" borderId="0" xfId="0" applyFont="1" applyAlignment="1">
      <alignment vertical="center" wrapText="1"/>
    </xf>
    <xf numFmtId="0" fontId="71" fillId="0" borderId="0" xfId="0" applyFont="1" applyAlignment="1">
      <alignment vertical="top" wrapText="1"/>
    </xf>
    <xf numFmtId="0" fontId="86" fillId="0" borderId="0" xfId="0" applyFont="1" applyAlignment="1">
      <alignment horizontal="left" vertical="center"/>
    </xf>
    <xf numFmtId="0" fontId="87" fillId="0" borderId="0" xfId="0" applyFont="1" applyAlignment="1">
      <alignment horizontal="center" vertical="center"/>
    </xf>
    <xf numFmtId="0" fontId="76" fillId="0" borderId="0" xfId="0" applyFont="1" applyAlignment="1">
      <alignment horizontal="center" vertical="center"/>
    </xf>
    <xf numFmtId="0" fontId="68" fillId="0" borderId="7" xfId="0" applyFont="1" applyBorder="1" applyAlignment="1">
      <alignment vertical="center"/>
    </xf>
    <xf numFmtId="0" fontId="69" fillId="0" borderId="7" xfId="0" applyFont="1" applyBorder="1" applyAlignment="1">
      <alignment horizontal="center" vertical="center"/>
    </xf>
    <xf numFmtId="0" fontId="83" fillId="0" borderId="0" xfId="0" applyFont="1" applyAlignment="1">
      <alignment vertical="center"/>
    </xf>
    <xf numFmtId="0" fontId="81" fillId="0" borderId="0" xfId="0" applyFont="1" applyAlignment="1">
      <alignment vertical="center" wrapText="1"/>
    </xf>
    <xf numFmtId="0" fontId="82" fillId="0" borderId="0" xfId="0" applyFont="1" applyAlignment="1">
      <alignment vertical="top" wrapText="1"/>
    </xf>
    <xf numFmtId="0" fontId="84" fillId="0" borderId="14" xfId="0" applyFont="1" applyBorder="1" applyAlignment="1">
      <alignment vertical="center"/>
    </xf>
    <xf numFmtId="0" fontId="61" fillId="0" borderId="7" xfId="0" applyFont="1" applyBorder="1" applyAlignment="1">
      <alignment vertical="center"/>
    </xf>
    <xf numFmtId="0" fontId="1" fillId="3" borderId="1" xfId="0" applyFont="1" applyFill="1" applyBorder="1" applyAlignment="1">
      <alignment horizontal="left" vertical="center" wrapText="1"/>
    </xf>
  </cellXfs>
  <cellStyles count="15">
    <cellStyle name="IK · Advertencia" xfId="9" xr:uid="{00000000-0005-0000-0000-000009000000}"/>
    <cellStyle name="IK · Bloqueada" xfId="7" xr:uid="{00000000-0005-0000-0000-000007000000}"/>
    <cellStyle name="IK · Calculada" xfId="6" xr:uid="{00000000-0005-0000-0000-000006000000}"/>
    <cellStyle name="IK · Editable" xfId="5" xr:uid="{00000000-0005-0000-0000-000005000000}"/>
    <cellStyle name="IK · Encabezado" xfId="3" xr:uid="{00000000-0005-0000-0000-000003000000}"/>
    <cellStyle name="IK · Error" xfId="10" xr:uid="{00000000-0005-0000-0000-00000A000000}"/>
    <cellStyle name="IK · Instrucción" xfId="2" xr:uid="{00000000-0005-0000-0000-000002000000}"/>
    <cellStyle name="IK · Navegación" xfId="14" xr:uid="{00000000-0005-0000-0000-00000E000000}"/>
    <cellStyle name="IK · Nota" xfId="13" xr:uid="{00000000-0005-0000-0000-00000D000000}"/>
    <cellStyle name="IK · Resultado" xfId="8" xr:uid="{00000000-0005-0000-0000-000008000000}"/>
    <cellStyle name="IK · Separador" xfId="11" xr:uid="{00000000-0005-0000-0000-00000B000000}"/>
    <cellStyle name="IK · Subencabezado" xfId="4" xr:uid="{00000000-0005-0000-0000-000004000000}"/>
    <cellStyle name="IK · Tarjeta" xfId="12" xr:uid="{00000000-0005-0000-0000-00000C000000}"/>
    <cellStyle name="IK · Título" xfId="1" xr:uid="{00000000-0005-0000-0000-000001000000}"/>
    <cellStyle name="Normal" xfId="0" builtinId="0"/>
  </cellStyles>
  <dxfs count="17">
    <dxf>
      <font>
        <b/>
        <sz val="10"/>
        <color rgb="FF9A6212"/>
        <name val="Aptos"/>
        <charset val="1"/>
      </font>
      <fill>
        <patternFill>
          <bgColor rgb="FFE6C86E"/>
        </patternFill>
      </fill>
    </dxf>
    <dxf>
      <font>
        <b/>
        <sz val="10"/>
        <color rgb="FF1E7A4C"/>
        <name val="Aptos"/>
        <charset val="1"/>
      </font>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s>
  <tableStyles count="0" defaultTableStyle="TableStyleMedium2" defaultPivotStyle="PivotStyleLight16"/>
  <colors>
    <indexedColors>
      <rgbColor rgb="FF000000"/>
      <rgbColor rgb="FFFFFFFF"/>
      <rgbColor rgb="FFC00000"/>
      <rgbColor rgb="FF00FF00"/>
      <rgbColor rgb="FF0000C0"/>
      <rgbColor rgb="FFFFE699"/>
      <rgbColor rgb="FFFF00FF"/>
      <rgbColor rgb="FFF4F6F8"/>
      <rgbColor rgb="FF9C0006"/>
      <rgbColor rgb="FF006100"/>
      <rgbColor rgb="FF000080"/>
      <rgbColor rgb="FF7F6000"/>
      <rgbColor rgb="FF800080"/>
      <rgbColor rgb="FF2E75B6"/>
      <rgbColor rgb="FFBFBFBF"/>
      <rgbColor rgb="FF878787"/>
      <rgbColor rgb="FFC5E0F5"/>
      <rgbColor rgb="FF9C6500"/>
      <rgbColor rgb="FFFFF9E6"/>
      <rgbColor rgb="FFE4F0FA"/>
      <rgbColor rgb="FF660066"/>
      <rgbColor rgb="FFFFD9D9"/>
      <rgbColor rgb="FF0563C1"/>
      <rgbColor rgb="FFBDD7EE"/>
      <rgbColor rgb="FF000080"/>
      <rgbColor rgb="FFFF00FF"/>
      <rgbColor rgb="FFE7E6E6"/>
      <rgbColor rgb="FF00FFFF"/>
      <rgbColor rgb="FF800080"/>
      <rgbColor rgb="FF800000"/>
      <rgbColor rgb="FF44546A"/>
      <rgbColor rgb="FF0000FF"/>
      <rgbColor rgb="FF00CCFF"/>
      <rgbColor rgb="FFDEEAF6"/>
      <rgbColor rgb="FFC6EFCE"/>
      <rgbColor rgb="FFFFEB9C"/>
      <rgbColor rgb="FF9DC3E6"/>
      <rgbColor rgb="FFFFC7CE"/>
      <rgbColor rgb="FFB4C6E7"/>
      <rgbColor rgb="FFF8CBAD"/>
      <rgbColor rgb="FF4472C4"/>
      <rgbColor rgb="FFD9D9D9"/>
      <rgbColor rgb="FFC6E0B4"/>
      <rgbColor rgb="FFFFC000"/>
      <rgbColor rgb="FFBF8F00"/>
      <rgbColor rgb="FFED7D31"/>
      <rgbColor rgb="FF595959"/>
      <rgbColor rgb="FFA5A5A5"/>
      <rgbColor rgb="FF0F2B46"/>
      <rgbColor rgb="FF70AD47"/>
      <rgbColor rgb="FF003300"/>
      <rgbColor rgb="FF375623"/>
      <rgbColor rgb="FF7F3F00"/>
      <rgbColor rgb="FF993366"/>
      <rgbColor rgb="FF1F4E7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3D6E"/>
    <pageSetUpPr fitToPage="1"/>
  </sheetPr>
  <dimension ref="A1:H31"/>
  <sheetViews>
    <sheetView showGridLines="0" zoomScaleNormal="100" workbookViewId="0">
      <pane ySplit="2" topLeftCell="A4" activePane="bottomLeft" state="frozen"/>
      <selection pane="bottomLeft"/>
    </sheetView>
  </sheetViews>
  <sheetFormatPr baseColWidth="10" defaultRowHeight="15" x14ac:dyDescent="0.2"/>
  <cols>
    <col min="1" max="1" width="3" customWidth="1"/>
    <col min="2" max="7" width="22" customWidth="1"/>
    <col min="8" max="8" width="14" customWidth="1"/>
  </cols>
  <sheetData>
    <row r="1" spans="1:8" ht="30" customHeight="1" x14ac:dyDescent="0.2">
      <c r="A1" s="36"/>
      <c r="B1" s="73" t="s">
        <v>94</v>
      </c>
      <c r="C1" s="73"/>
      <c r="D1" s="73"/>
      <c r="E1" s="73"/>
      <c r="F1" s="36"/>
      <c r="G1" s="36"/>
      <c r="H1" s="37" t="s">
        <v>95</v>
      </c>
    </row>
    <row r="2" spans="1:8" ht="22" customHeight="1" x14ac:dyDescent="0.2">
      <c r="B2" s="74" t="s">
        <v>96</v>
      </c>
      <c r="C2" s="75"/>
      <c r="D2" s="75"/>
      <c r="E2" s="75"/>
      <c r="F2" s="75"/>
      <c r="G2" s="75"/>
    </row>
    <row r="4" spans="1:8" ht="36" customHeight="1" x14ac:dyDescent="0.2">
      <c r="B4" s="76" t="str">
        <f>IF(Var_N=0,"Bienvenido","Continúe su estudio")</f>
        <v>Continúe su estudio</v>
      </c>
      <c r="C4" s="75"/>
      <c r="D4" s="75"/>
      <c r="E4" s="75"/>
      <c r="F4" s="75"/>
    </row>
    <row r="5" spans="1:8" ht="24" customHeight="1" x14ac:dyDescent="0.2">
      <c r="B5" s="74" t="str">
        <f>IF(Var_N=0,"Le vamos a acompañar en siete pasos. Al final sabrá qué factores mandan en su sistema, cuáles solo reaccionan y cuáles influyen más de lo que nadie imagina.",IF((SUMPRODUCT((ROW('04 · Matriz'!$C$6:$AA$30)-5&lt;=Var_N)*(COLUMN('04 · Matriz'!$C$6:$AA$30)-2&lt;=Var_N)*('04 · Matriz'!$C$6:$AA$30&lt;&gt;""))-Var_N&gt;=Ind_Preguntas),"Su matriz está completa. Puede interpretar el resultado y emitir el informe.","Retome donde lo dejó. La herramienta conserva todo lo que ha escrito."))</f>
        <v>Retome donde lo dejó. La herramienta conserva todo lo que ha escrito.</v>
      </c>
      <c r="C5" s="75"/>
      <c r="D5" s="75"/>
      <c r="E5" s="75"/>
      <c r="F5" s="75"/>
      <c r="G5" s="75"/>
    </row>
    <row r="7" spans="1:8" ht="20" customHeight="1" x14ac:dyDescent="0.2">
      <c r="B7" s="77" t="s">
        <v>97</v>
      </c>
      <c r="C7" s="75"/>
      <c r="D7" s="75"/>
      <c r="E7" s="75"/>
      <c r="F7" s="75"/>
      <c r="G7" s="75"/>
      <c r="H7" s="75"/>
    </row>
    <row r="8" spans="1:8" ht="40" customHeight="1" x14ac:dyDescent="0.2">
      <c r="B8" s="78">
        <f>COUNTA('02 · Variables'!$C$7:$C$31)</f>
        <v>25</v>
      </c>
      <c r="C8" s="75"/>
      <c r="D8" s="78">
        <f>IF(Ind_Preguntas=0,0,MAX(0,SUMPRODUCT((ROW('04 · Matriz'!$C$6:$AA$30)-5&lt;=Var_N)*(COLUMN('04 · Matriz'!$C$6:$AA$30)-2&lt;=Var_N)*('04 · Matriz'!$C$6:$AA$30&lt;&gt;""))-Var_N))</f>
        <v>0</v>
      </c>
      <c r="E8" s="75"/>
      <c r="F8" s="79">
        <f>IF(Ind_Preguntas=0,0,MAX(0,SUMPRODUCT((ROW('04 · Matriz'!$C$6:$AA$30)-5&lt;=Var_N)*(COLUMN('04 · Matriz'!$C$6:$AA$30)-2&lt;=Var_N)*('04 · Matriz'!$C$6:$AA$30&lt;&gt;""))-Var_N)/Ind_Preguntas)</f>
        <v>0</v>
      </c>
      <c r="G8" s="75"/>
      <c r="H8" s="75"/>
    </row>
    <row r="9" spans="1:8" ht="20" customHeight="1" x14ac:dyDescent="0.2">
      <c r="B9" s="77" t="s">
        <v>98</v>
      </c>
      <c r="C9" s="75"/>
      <c r="D9" s="77" t="s">
        <v>99</v>
      </c>
      <c r="E9" s="75"/>
      <c r="F9" s="77" t="s">
        <v>100</v>
      </c>
      <c r="G9" s="75"/>
      <c r="H9" s="75"/>
    </row>
    <row r="11" spans="1:8" ht="22" customHeight="1" x14ac:dyDescent="0.2">
      <c r="B11" s="80" t="str">
        <f>IF(COUNTA('01 · Encuadre'!$B$10,'01 · Encuadre'!$B$14,'01 · Encuadre'!$B$18,'01 · Encuadre'!$B$22)&lt;4,"● Siguiente: describir el estudio",IF(COUNTA('02 · Variables'!$C$7:$C$31)&lt;8,"● Siguiente: definir los factores del sistema",IF(COUNTA('03 · Criterio'!$D$9:$D$23)&lt;8,"● Siguiente: acordar el criterio del panel",IF(NOT((SUMPRODUCT((ROW('04 · Matriz'!$C$6:$AA$30)-5&lt;=Var_N)*(COLUMN('04 · Matriz'!$C$6:$AA$30)-2&lt;=Var_N)*('04 · Matriz'!$C$6:$AA$30&lt;&gt;""))-Var_N&gt;=Ind_Preguntas)),"● Siguiente: completar la matriz","● Siguiente: interpretar el resultado"))))</f>
        <v>● Siguiente: completar la matriz</v>
      </c>
      <c r="C11" s="81"/>
      <c r="D11" s="81"/>
      <c r="E11" s="81"/>
      <c r="F11" s="81"/>
      <c r="G11" s="81"/>
      <c r="H11" s="81"/>
    </row>
    <row r="12" spans="1:8" ht="24" customHeight="1" x14ac:dyDescent="0.2">
      <c r="B12" s="81" t="str">
        <f>IF(COUNTA('01 · Encuadre'!$B$10,'01 · Encuadre'!$B$14,'01 · Encuadre'!$B$18,'01 · Encuadre'!$B$22)&lt;4,"Cuatro campos. Cinco minutos.",IF(COUNTA('02 · Variables'!$C$7:$C$31)&lt;8,"Entre 8 y 25 factores. Media hora.",IF(COUNTA('03 · Criterio'!$D$9:$D$23)&lt;8,"Ocho casos que acuerda el panel. Quince minutos.",IF(NOT((SUMPRODUCT((ROW('04 · Matriz'!$C$6:$AA$30)-5&lt;=Var_N)*(COLUMN('04 · Matriz'!$C$6:$AA$30)-2&lt;=Var_N)*('04 · Matriz'!$C$6:$AA$30&lt;&gt;""))-Var_N&gt;=Ind_Preguntas)),"Le faltan "&amp;MAX(0,Ind_Preguntas-(SUMPRODUCT((ROW('04 · Matriz'!$C$6:$AA$30)-5&lt;=Var_N)*(COLUMN('04 · Matriz'!$C$6:$AA$30)-2&lt;=Var_N)*('04 · Matriz'!$C$6:$AA$30&lt;&gt;""))-Var_N))&amp;" valoraciones.","El análisis está listo para leerse."))))</f>
        <v>Le faltan 600 valoraciones.</v>
      </c>
      <c r="C12" s="81"/>
      <c r="D12" s="81"/>
      <c r="E12" s="81"/>
      <c r="F12" s="81"/>
      <c r="G12" s="81"/>
      <c r="H12" s="81"/>
    </row>
    <row r="14" spans="1:8" ht="34" customHeight="1" x14ac:dyDescent="0.2">
      <c r="B14" s="82" t="str">
        <f>IF(Var_N=0,"▶   EMPEZAR","▶   CONTINUAR")</f>
        <v>▶   CONTINUAR</v>
      </c>
      <c r="C14" s="82"/>
      <c r="D14" s="82"/>
    </row>
    <row r="15" spans="1:8" ht="20" customHeight="1" x14ac:dyDescent="0.2">
      <c r="B15" s="83" t="s">
        <v>101</v>
      </c>
      <c r="C15" s="75"/>
      <c r="D15" s="75"/>
      <c r="E15" s="75"/>
      <c r="F15" s="75"/>
      <c r="G15" s="75"/>
    </row>
    <row r="17" spans="2:8" ht="22" customHeight="1" x14ac:dyDescent="0.2">
      <c r="B17" s="77" t="s">
        <v>102</v>
      </c>
      <c r="C17" s="75"/>
      <c r="D17" s="75"/>
      <c r="E17" s="75"/>
      <c r="F17" s="75"/>
      <c r="G17" s="75"/>
      <c r="H17" s="75"/>
    </row>
    <row r="18" spans="2:8" ht="18" customHeight="1" x14ac:dyDescent="0.2">
      <c r="B18" s="46" t="str">
        <f>IF(COUNTA('01 · Encuadre'!$B$10,'01 · Encuadre'!$B$14,'01 · Encuadre'!$B$18,'01 · Encuadre'!$B$22)=4,"✓  PASO 1","PASO 1")</f>
        <v>✓  PASO 1</v>
      </c>
      <c r="C18" s="46" t="str">
        <f>IF(COUNTA('02 · Variables'!$C$7:$C$31)&gt;=8,"✓  PASO 2","PASO 2")</f>
        <v>✓  PASO 2</v>
      </c>
      <c r="D18" s="46" t="str">
        <f>IF(COUNTA('03 · Criterio'!$D$9:$D$23)=8,"✓  PASO 3","PASO 3")</f>
        <v>✓  PASO 3</v>
      </c>
      <c r="E18" s="46" t="str">
        <f>IF((SUMPRODUCT((ROW('04 · Matriz'!$C$6:$AA$30)-5&lt;=Var_N)*(COLUMN('04 · Matriz'!$C$6:$AA$30)-2&lt;=Var_N)*('04 · Matriz'!$C$6:$AA$30&lt;&gt;""))-Var_N&gt;=Ind_Preguntas),"✓  PASO 4","PASO 4")</f>
        <v>PASO 4</v>
      </c>
      <c r="F18" s="46" t="str">
        <f>IF((SUMPRODUCT((ROW('04 · Matriz'!$C$6:$AA$30)-5&lt;=Var_N)*(COLUMN('04 · Matriz'!$C$6:$AA$30)-2&lt;=Var_N)*('04 · Matriz'!$C$6:$AA$30&lt;&gt;""))-Var_N&gt;=Ind_Preguntas),"✓  PASO 5","PASO 5")</f>
        <v>PASO 5</v>
      </c>
      <c r="G18" s="46" t="str">
        <f>IF((SUMPRODUCT((ROW('04 · Matriz'!$C$6:$AA$30)-5&lt;=Var_N)*(COLUMN('04 · Matriz'!$C$6:$AA$30)-2&lt;=Var_N)*('04 · Matriz'!$C$6:$AA$30&lt;&gt;""))-Var_N&gt;=Ind_Preguntas),"✓  PASO 6","PASO 6")</f>
        <v>PASO 6</v>
      </c>
      <c r="H18" s="46" t="str">
        <f>IF((SUMPRODUCT((ROW('04 · Matriz'!$C$6:$AA$30)-5&lt;=Var_N)*(COLUMN('04 · Matriz'!$C$6:$AA$30)-2&lt;=Var_N)*('04 · Matriz'!$C$6:$AA$30&lt;&gt;""))-Var_N&gt;=Ind_Preguntas),"✓  PASO 7","PASO 7")</f>
        <v>PASO 7</v>
      </c>
    </row>
    <row r="19" spans="2:8" ht="22" customHeight="1" x14ac:dyDescent="0.2">
      <c r="B19" s="49" t="s">
        <v>103</v>
      </c>
      <c r="C19" s="49" t="s">
        <v>104</v>
      </c>
      <c r="D19" s="49" t="s">
        <v>105</v>
      </c>
      <c r="E19" s="49" t="s">
        <v>106</v>
      </c>
      <c r="F19" s="49" t="s">
        <v>107</v>
      </c>
      <c r="G19" s="49" t="s">
        <v>108</v>
      </c>
      <c r="H19" s="49" t="s">
        <v>109</v>
      </c>
    </row>
    <row r="20" spans="2:8" ht="34" customHeight="1" x14ac:dyDescent="0.2">
      <c r="B20" s="48" t="s">
        <v>110</v>
      </c>
      <c r="C20" s="48" t="s">
        <v>111</v>
      </c>
      <c r="D20" s="48" t="s">
        <v>112</v>
      </c>
      <c r="E20" s="48" t="s">
        <v>113</v>
      </c>
      <c r="F20" s="48" t="s">
        <v>114</v>
      </c>
      <c r="G20" s="48" t="s">
        <v>115</v>
      </c>
      <c r="H20" s="48" t="s">
        <v>116</v>
      </c>
    </row>
    <row r="21" spans="2:8" ht="18" customHeight="1" x14ac:dyDescent="0.2">
      <c r="B21" s="47" t="s">
        <v>117</v>
      </c>
      <c r="C21" s="47" t="s">
        <v>118</v>
      </c>
      <c r="D21" s="47" t="s">
        <v>119</v>
      </c>
      <c r="E21" s="47" t="s">
        <v>120</v>
      </c>
      <c r="F21" s="47" t="s">
        <v>121</v>
      </c>
      <c r="G21" s="47" t="s">
        <v>117</v>
      </c>
      <c r="H21" s="47" t="s">
        <v>122</v>
      </c>
    </row>
    <row r="23" spans="2:8" ht="22" customHeight="1" x14ac:dyDescent="0.2">
      <c r="B23" s="77" t="s">
        <v>123</v>
      </c>
      <c r="C23" s="75"/>
      <c r="D23" s="75"/>
      <c r="E23" s="75"/>
      <c r="F23" s="75"/>
      <c r="G23" s="75"/>
      <c r="H23" s="75"/>
    </row>
    <row r="24" spans="2:8" ht="22" customHeight="1" x14ac:dyDescent="0.2">
      <c r="B24" s="84" t="s">
        <v>124</v>
      </c>
      <c r="C24" s="75"/>
      <c r="D24" s="84" t="s">
        <v>125</v>
      </c>
      <c r="E24" s="75"/>
      <c r="F24" s="84" t="s">
        <v>126</v>
      </c>
      <c r="G24" s="75"/>
    </row>
    <row r="25" spans="2:8" ht="34" customHeight="1" x14ac:dyDescent="0.2">
      <c r="B25" s="85" t="s">
        <v>127</v>
      </c>
      <c r="C25" s="75"/>
      <c r="D25" s="85" t="s">
        <v>128</v>
      </c>
      <c r="E25" s="75"/>
      <c r="F25" s="85" t="s">
        <v>129</v>
      </c>
      <c r="G25" s="75"/>
    </row>
    <row r="27" spans="2:8" ht="22" customHeight="1" x14ac:dyDescent="0.2">
      <c r="B27" s="83" t="s">
        <v>130</v>
      </c>
      <c r="C27" s="75"/>
      <c r="D27" s="75"/>
      <c r="E27" s="75"/>
      <c r="F27" s="75"/>
      <c r="G27" s="75"/>
      <c r="H27" s="75"/>
    </row>
    <row r="28" spans="2:8" ht="22" customHeight="1" x14ac:dyDescent="0.2">
      <c r="B28" s="86" t="s">
        <v>131</v>
      </c>
      <c r="C28" s="75"/>
      <c r="D28" s="75"/>
      <c r="E28" s="75"/>
    </row>
    <row r="30" spans="2:8" ht="20" customHeight="1" x14ac:dyDescent="0.2">
      <c r="B30" s="77" t="s">
        <v>132</v>
      </c>
      <c r="C30" s="75"/>
      <c r="D30" s="75"/>
      <c r="E30" s="75"/>
      <c r="F30" s="75"/>
      <c r="G30" s="75"/>
      <c r="H30" s="75"/>
    </row>
    <row r="31" spans="2:8" ht="30" customHeight="1" x14ac:dyDescent="0.2">
      <c r="B31" s="87" t="str">
        <f>IF(Var_N&lt;2,"Sin empezar. El recorrido son siete pasos y unas dos horas.",IF((COUNTA('01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Matriz'!$C$6:$AA$30&lt;&gt;""))-Var_N&gt;=Ind_Preguntas)))*1+(SUM(Res_Motricidad)=0)*1&gt;0,IF((COUNTA('01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Matriz'!$C$6:$AA$30&lt;&gt;""))-Var_N&gt;=Ind_Preguntas)))*1+(SUM(Res_Motricidad)=0)*1=1,"En curso. Falta 1 requisito para poder cerrar el estudio.","En curso. Faltan "&amp;(COUNTA('01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Matriz'!$C$6:$AA$30&lt;&gt;""))-Var_N&gt;=Ind_Preguntas)))*1+(SUM(Res_Motricidad)=0)*1&amp;" requisitos para poder cerrar el estudio."),IF((OR(Ind_Densidad&lt;0.2,Ind_Densidad&gt;0.25))*1+(IF(Ind_NoNulas=0,0,COUNTIF('04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Criterio'!$D$19="4")),0,1)&gt;0))*1&gt;0,IF((OR(Ind_Densidad&lt;0.2,Ind_Densidad&gt;0.25))*1+(IF(Ind_NoNulas=0,0,COUNTIF('04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Criterio'!$D$19="4")),0,1)&gt;0))*1=1,"Listo con salvedades: 1 situación que explicar en el informe.","Listo con salvedades: "&amp;(OR(Ind_Densidad&lt;0.2,Ind_Densidad&gt;0.25))*1+(IF(Ind_NoNulas=0,0,COUNTIF('04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Criterio'!$D$19="4")),0,1)&gt;0))*1&amp;" situaciones que explicar en el informe."),"Listo. El estudio cumple todos los requisitos.")))</f>
        <v>En curso. Faltan 2 requisitos para poder cerrar el estudio.</v>
      </c>
      <c r="C31" s="87"/>
      <c r="D31" s="87"/>
      <c r="E31" s="87"/>
      <c r="F31" s="87"/>
      <c r="G31" s="87"/>
      <c r="H31" s="87"/>
    </row>
  </sheetData>
  <sheetProtection password="CD7E" sheet="1" formatCells="0" formatColumns="0" formatRows="0" insertRows="0"/>
  <mergeCells count="27">
    <mergeCell ref="B27:H27"/>
    <mergeCell ref="B28:E28"/>
    <mergeCell ref="B30:H30"/>
    <mergeCell ref="B31:H31"/>
    <mergeCell ref="B23:H23"/>
    <mergeCell ref="B24:C24"/>
    <mergeCell ref="B25:C25"/>
    <mergeCell ref="D24:E24"/>
    <mergeCell ref="D25:E25"/>
    <mergeCell ref="F24:G24"/>
    <mergeCell ref="F25:G25"/>
    <mergeCell ref="B11:H11"/>
    <mergeCell ref="B12:H12"/>
    <mergeCell ref="B14:D14"/>
    <mergeCell ref="B15:G15"/>
    <mergeCell ref="B17:H17"/>
    <mergeCell ref="B8:C8"/>
    <mergeCell ref="D8:E8"/>
    <mergeCell ref="F8:H8"/>
    <mergeCell ref="B9:C9"/>
    <mergeCell ref="D9:E9"/>
    <mergeCell ref="F9:H9"/>
    <mergeCell ref="B1:E1"/>
    <mergeCell ref="B2:G2"/>
    <mergeCell ref="B4:F4"/>
    <mergeCell ref="B5:G5"/>
    <mergeCell ref="B7:H7"/>
  </mergeCells>
  <hyperlinks>
    <hyperlink ref="B14" location="'01 · Encuadre'!A1" display="Empezar" xr:uid="{00000000-0004-0000-0000-000000000000}"/>
    <hyperlink ref="B19" location="'01 · Encuadre'!A1" display="Encuadre" xr:uid="{00000000-0004-0000-0000-000001000000}"/>
    <hyperlink ref="C19" location="'02 · Variables'!A1" display="Variables" xr:uid="{00000000-0004-0000-0000-000002000000}"/>
    <hyperlink ref="D19" location="'03 · Criterio'!A1" display="Criterio" xr:uid="{00000000-0004-0000-0000-000003000000}"/>
    <hyperlink ref="E19" location="'04 · Matriz'!A1" display="Matriz" xr:uid="{00000000-0004-0000-0000-000004000000}"/>
    <hyperlink ref="F19" location="'05 · Resultado'!A1" display="Resultado" xr:uid="{00000000-0004-0000-0000-000005000000}"/>
    <hyperlink ref="G19" location="'Comprobación'!A1" display="Revisión" xr:uid="{00000000-0004-0000-0000-000006000000}"/>
    <hyperlink ref="H19" location="'06 · Informe'!A1" display="Informe" xr:uid="{00000000-0004-0000-0000-000007000000}"/>
    <hyperlink ref="B28" location="Método!A1" display="Método" xr:uid="{00000000-0004-0000-0000-000008000000}"/>
  </hyperlinks>
  <pageMargins left="0.4" right="0.4" top="0.5" bottom="0.5" header="0.3" footer="0.3"/>
  <pageSetup paperSize="9" fitToHeight="0" orientation="portrait"/>
  <headerFooter>
    <oddFooter>&amp;L&amp;"Aptos,Regular"&amp;8&amp;K94A0AEIntelKIT · MICMAC Essentials v1.0&amp;R&amp;"Aptos,Regular"&amp;8&amp;K94A0AEPágina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A3F9E"/>
    <pageSetUpPr fitToPage="1"/>
  </sheetPr>
  <dimension ref="A1:H29"/>
  <sheetViews>
    <sheetView showGridLines="0" zoomScaleNormal="100" workbookViewId="0">
      <pane ySplit="6" topLeftCell="A13" activePane="bottomLeft" state="frozen"/>
      <selection pane="bottomLeft" activeCell="B29" sqref="B29:D29"/>
    </sheetView>
  </sheetViews>
  <sheetFormatPr baseColWidth="10" defaultRowHeight="15" x14ac:dyDescent="0.2"/>
  <cols>
    <col min="1" max="1" width="3" customWidth="1"/>
    <col min="2" max="2" width="26" customWidth="1"/>
    <col min="3" max="3" width="56" customWidth="1"/>
    <col min="4" max="4" width="26" customWidth="1"/>
    <col min="5" max="7" width="18" customWidth="1"/>
    <col min="8" max="8" width="14" customWidth="1"/>
  </cols>
  <sheetData>
    <row r="1" spans="1:8" ht="28" customHeight="1" x14ac:dyDescent="0.2">
      <c r="A1" s="36"/>
      <c r="B1" s="73" t="s">
        <v>94</v>
      </c>
      <c r="C1" s="73"/>
      <c r="D1" s="73"/>
      <c r="E1" s="36"/>
      <c r="F1" s="36"/>
      <c r="G1" s="36"/>
      <c r="H1" s="37" t="s">
        <v>133</v>
      </c>
    </row>
    <row r="2" spans="1:8" ht="24" customHeight="1" x14ac:dyDescent="0.2">
      <c r="B2" s="38" t="s">
        <v>134</v>
      </c>
      <c r="C2" s="40" t="str">
        <f>IF(COUNTA('02 · Variables'!$C$7:$C$31)&gt;=8,"✓ 2 · Variables","2 · Variables")</f>
        <v>✓ 2 · Variables</v>
      </c>
      <c r="D2" s="40" t="str">
        <f>IF(COUNTA('03 · Criterio'!$D$9:$D$23)=8,"✓ 3 · Criterio","3 · Criterio")</f>
        <v>✓ 3 · Criterio</v>
      </c>
      <c r="E2" s="40" t="str">
        <f>IF((SUMPRODUCT((ROW('04 · Matriz'!$C$6:$AA$30)-5&lt;=Var_N)*(COLUMN('04 · Matriz'!$C$6:$AA$30)-2&lt;=Var_N)*('04 · Matriz'!$C$6:$AA$30&lt;&gt;""))-Var_N&gt;=Ind_Preguntas),"✓ 4 · Matriz","4 · Matriz")</f>
        <v>4 · Matriz</v>
      </c>
      <c r="F2" s="40" t="str">
        <f>IF((SUMPRODUCT((ROW('04 · Matriz'!$C$6:$AA$30)-5&lt;=Var_N)*(COLUMN('04 · Matriz'!$C$6:$AA$30)-2&lt;=Var_N)*('04 · Matriz'!$C$6:$AA$30&lt;&gt;""))-Var_N&gt;=Ind_Preguntas),"✓ 5 · Resultado","5 · Resultado")</f>
        <v>5 · Resultado</v>
      </c>
      <c r="G2" s="40" t="str">
        <f>IF((SUMPRODUCT((ROW('04 · Matriz'!$C$6:$AA$30)-5&lt;=Var_N)*(COLUMN('04 · Matriz'!$C$6:$AA$30)-2&lt;=Var_N)*('04 · Matriz'!$C$6:$AA$30&lt;&gt;""))-Var_N&gt;=Ind_Preguntas),"✓ 6 · Revisión","6 · Revisión")</f>
        <v>6 · Revisión</v>
      </c>
      <c r="H2" s="40" t="s">
        <v>135</v>
      </c>
    </row>
    <row r="3" spans="1:8" ht="38" customHeight="1" x14ac:dyDescent="0.2">
      <c r="B3" s="76" t="s">
        <v>136</v>
      </c>
      <c r="C3" s="75"/>
      <c r="D3" s="75"/>
      <c r="E3" s="75"/>
      <c r="F3" s="75"/>
    </row>
    <row r="4" spans="1:8" ht="24" customHeight="1" x14ac:dyDescent="0.2">
      <c r="B4" s="88" t="s">
        <v>137</v>
      </c>
      <c r="C4" s="75"/>
      <c r="D4" s="75"/>
      <c r="E4" s="75"/>
      <c r="F4" s="75"/>
      <c r="G4" s="75"/>
      <c r="H4" s="75"/>
    </row>
    <row r="5" spans="1:8" ht="30" customHeight="1" x14ac:dyDescent="0.2">
      <c r="B5" s="89" t="s">
        <v>138</v>
      </c>
      <c r="C5" s="75"/>
      <c r="D5" s="75"/>
      <c r="E5" s="75"/>
      <c r="F5" s="75"/>
      <c r="G5" s="75"/>
      <c r="H5" s="75"/>
    </row>
    <row r="6" spans="1:8" ht="10" customHeight="1" x14ac:dyDescent="0.2">
      <c r="B6" s="56"/>
      <c r="C6" s="56"/>
      <c r="D6" s="56"/>
      <c r="E6" s="56"/>
      <c r="F6" s="56"/>
      <c r="G6" s="56"/>
      <c r="H6" s="56"/>
    </row>
    <row r="8" spans="1:8" ht="22" customHeight="1" x14ac:dyDescent="0.2">
      <c r="B8" s="90" t="s">
        <v>139</v>
      </c>
      <c r="C8" s="75"/>
    </row>
    <row r="9" spans="1:8" ht="20" customHeight="1" x14ac:dyDescent="0.2">
      <c r="B9" s="83" t="s">
        <v>140</v>
      </c>
      <c r="C9" s="75"/>
      <c r="D9" s="75"/>
    </row>
    <row r="10" spans="1:8" ht="30" customHeight="1" x14ac:dyDescent="0.2">
      <c r="B10" s="91" t="s">
        <v>141</v>
      </c>
      <c r="C10" s="91"/>
      <c r="D10" s="91"/>
      <c r="E10" s="92" t="str">
        <f>IF('01 · Encuadre'!$B$10="","","✓ escrito")</f>
        <v/>
      </c>
      <c r="F10" s="75"/>
    </row>
    <row r="11" spans="1:8" ht="20" customHeight="1" x14ac:dyDescent="0.2">
      <c r="B11" s="93" t="s">
        <v>142</v>
      </c>
      <c r="C11" s="75"/>
      <c r="D11" s="75"/>
      <c r="E11" s="75"/>
      <c r="F11" s="75"/>
    </row>
    <row r="12" spans="1:8" ht="22" customHeight="1" x14ac:dyDescent="0.2">
      <c r="B12" s="90" t="s">
        <v>143</v>
      </c>
      <c r="C12" s="75"/>
    </row>
    <row r="13" spans="1:8" ht="20" customHeight="1" x14ac:dyDescent="0.2">
      <c r="B13" s="83" t="s">
        <v>144</v>
      </c>
      <c r="C13" s="75"/>
      <c r="D13" s="75"/>
    </row>
    <row r="14" spans="1:8" ht="30" customHeight="1" x14ac:dyDescent="0.2">
      <c r="B14" s="91" t="s">
        <v>141</v>
      </c>
      <c r="C14" s="91"/>
      <c r="D14" s="91"/>
      <c r="E14" s="92" t="str">
        <f>IF('01 · Encuadre'!$B$14="","","✓ escrito")</f>
        <v/>
      </c>
      <c r="F14" s="75"/>
    </row>
    <row r="15" spans="1:8" ht="20" customHeight="1" x14ac:dyDescent="0.2">
      <c r="B15" s="93" t="s">
        <v>145</v>
      </c>
      <c r="C15" s="75"/>
      <c r="D15" s="75"/>
      <c r="E15" s="75"/>
      <c r="F15" s="75"/>
    </row>
    <row r="16" spans="1:8" ht="22" customHeight="1" x14ac:dyDescent="0.2">
      <c r="B16" s="90" t="s">
        <v>146</v>
      </c>
      <c r="C16" s="75"/>
    </row>
    <row r="17" spans="2:8" ht="20" customHeight="1" x14ac:dyDescent="0.2">
      <c r="B17" s="83" t="s">
        <v>147</v>
      </c>
      <c r="C17" s="75"/>
      <c r="D17" s="75"/>
    </row>
    <row r="18" spans="2:8" ht="30" customHeight="1" x14ac:dyDescent="0.2">
      <c r="B18" s="91" t="s">
        <v>141</v>
      </c>
      <c r="C18" s="91"/>
      <c r="D18" s="91"/>
      <c r="E18" s="92" t="str">
        <f>IF('01 · Encuadre'!$B$18="","","✓ escrito")</f>
        <v/>
      </c>
      <c r="F18" s="75"/>
    </row>
    <row r="19" spans="2:8" ht="20" customHeight="1" x14ac:dyDescent="0.2">
      <c r="B19" s="93" t="s">
        <v>148</v>
      </c>
      <c r="C19" s="75"/>
      <c r="D19" s="75"/>
      <c r="E19" s="75"/>
      <c r="F19" s="75"/>
    </row>
    <row r="20" spans="2:8" ht="22" customHeight="1" x14ac:dyDescent="0.2">
      <c r="B20" s="90" t="s">
        <v>149</v>
      </c>
      <c r="C20" s="75"/>
    </row>
    <row r="21" spans="2:8" ht="20" customHeight="1" x14ac:dyDescent="0.2">
      <c r="B21" s="83" t="s">
        <v>150</v>
      </c>
      <c r="C21" s="75"/>
      <c r="D21" s="75"/>
    </row>
    <row r="22" spans="2:8" ht="30" customHeight="1" x14ac:dyDescent="0.2">
      <c r="B22" s="91" t="s">
        <v>141</v>
      </c>
      <c r="C22" s="91"/>
      <c r="D22" s="91"/>
      <c r="E22" s="92" t="str">
        <f>IF('01 · Encuadre'!$B$22="","","✓ escrito")</f>
        <v/>
      </c>
      <c r="F22" s="75"/>
    </row>
    <row r="23" spans="2:8" ht="20" customHeight="1" x14ac:dyDescent="0.2">
      <c r="B23" s="93" t="s">
        <v>151</v>
      </c>
      <c r="C23" s="75"/>
      <c r="D23" s="75"/>
      <c r="E23" s="75"/>
      <c r="F23" s="75"/>
    </row>
    <row r="25" spans="2:8" ht="10" customHeight="1" x14ac:dyDescent="0.2">
      <c r="B25" s="56"/>
      <c r="C25" s="56"/>
      <c r="D25" s="56"/>
      <c r="E25" s="56"/>
      <c r="F25" s="56"/>
      <c r="G25" s="56"/>
      <c r="H25" s="56"/>
    </row>
    <row r="26" spans="2:8" ht="18" customHeight="1" x14ac:dyDescent="0.2">
      <c r="B26" s="77" t="s">
        <v>152</v>
      </c>
      <c r="C26" s="75"/>
      <c r="D26" s="77" t="s">
        <v>153</v>
      </c>
      <c r="E26" s="75"/>
      <c r="F26" s="77" t="s">
        <v>154</v>
      </c>
      <c r="G26" s="75"/>
    </row>
    <row r="27" spans="2:8" ht="40" customHeight="1" x14ac:dyDescent="0.2">
      <c r="B27" s="94" t="str">
        <f>"Ha descrito el estudio: "&amp;COUNTA('01 · Encuadre'!$B$10,'01 · Encuadre'!$B$14,'01 · Encuadre'!$B$18,'01 · Encuadre'!$B$22)&amp;" de 4 campos."</f>
        <v>Ha descrito el estudio: 4 de 4 campos.</v>
      </c>
      <c r="C27" s="75"/>
      <c r="D27" s="94" t="str">
        <f>"Definir entre 8 y 25 factores que describan el sistema."</f>
        <v>Definir entre 8 y 25 factores que describan el sistema.</v>
      </c>
      <c r="E27" s="75"/>
      <c r="F27" s="94" t="str">
        <f>"Seis pasos y unas dos horas de trabajo."</f>
        <v>Seis pasos y unas dos horas de trabajo.</v>
      </c>
      <c r="G27" s="75"/>
    </row>
    <row r="29" spans="2:8" ht="32" customHeight="1" x14ac:dyDescent="0.2">
      <c r="B29" s="82" t="s">
        <v>155</v>
      </c>
      <c r="C29" s="82"/>
      <c r="D29" s="82"/>
    </row>
  </sheetData>
  <sheetProtection password="CD7E" sheet="1" formatCells="0" formatColumns="0" formatRows="0" insertRows="0"/>
  <mergeCells count="31">
    <mergeCell ref="B29:D29"/>
    <mergeCell ref="B27:C27"/>
    <mergeCell ref="D26:E26"/>
    <mergeCell ref="D27:E27"/>
    <mergeCell ref="F26:G26"/>
    <mergeCell ref="F27:G27"/>
    <mergeCell ref="B21:D21"/>
    <mergeCell ref="B22:D22"/>
    <mergeCell ref="E22:F22"/>
    <mergeCell ref="B23:F23"/>
    <mergeCell ref="B26:C26"/>
    <mergeCell ref="B17:D17"/>
    <mergeCell ref="B18:D18"/>
    <mergeCell ref="E18:F18"/>
    <mergeCell ref="B19:F19"/>
    <mergeCell ref="B20:C20"/>
    <mergeCell ref="B13:D13"/>
    <mergeCell ref="B14:D14"/>
    <mergeCell ref="E14:F14"/>
    <mergeCell ref="B15:F15"/>
    <mergeCell ref="B16:C16"/>
    <mergeCell ref="B9:D9"/>
    <mergeCell ref="B10:D10"/>
    <mergeCell ref="E10:F10"/>
    <mergeCell ref="B11:F11"/>
    <mergeCell ref="B12:C12"/>
    <mergeCell ref="B1:D1"/>
    <mergeCell ref="B3:F3"/>
    <mergeCell ref="B4:H4"/>
    <mergeCell ref="B5:H5"/>
    <mergeCell ref="B8:C8"/>
  </mergeCells>
  <dataValidations count="4">
    <dataValidation type="textLength" allowBlank="1" showInputMessage="1" showErrorMessage="1" errorTitle="Valor no admitido" error="Una frase que identifique el sistema con precisión.  Ejemplo: Vulnerabilidad de un puerto comercial ante la infiltración del crimen organizado" promptTitle="Qué sistema analiza" prompt="Una frase que identifique el sistema con precisión.  Ejemplo: Vulnerabilidad de un puerto comercial ante la infiltración del crimen organizado" sqref="B10" xr:uid="{00000000-0002-0000-0100-000000000000}">
      <formula1>1</formula1>
      <formula2>250</formula2>
    </dataValidation>
    <dataValidation type="textLength" allowBlank="1" showInputMessage="1" showErrorMessage="1" errorTitle="Valor no admitido" error="Formúlelo como pregunta. Es lo que el informe responderá.  Ejemplo: ¿Qué factores condicionan realmente la vulnerabilidad del sistema portuario?" promptTitle="Qué quiere responder" prompt="Formúlelo como pregunta. Es lo que el informe responderá.  Ejemplo: ¿Qué factores condicionan realmente la vulnerabilidad del sistema portuario?" sqref="B14" xr:uid="{00000000-0002-0000-0100-000001000000}">
      <formula1>1</formula1>
      <formula2>250</formula2>
    </dataValidation>
    <dataValidation type="textLength" allowBlank="1" showInputMessage="1" showErrorMessage="1" errorTitle="Valor no admitido" error="Define qué se considera potencial: una relación posterior al horizonte se registra como 0.  Ejemplo: Horizonte 2030" promptTitle="Hasta dónde mira" prompt="Define qué se considera potencial: una relación posterior al horizonte se registra como 0.  Ejemplo: Horizonte 2030" sqref="B18" xr:uid="{00000000-0002-0000-0100-000002000000}">
      <formula1>1</formula1>
      <formula2>250</formula2>
    </dataValidation>
    <dataValidation type="textLength" allowBlank="1" showInputMessage="1" showErrorMessage="1" errorTitle="Valor no admitido" error="Persona o unidad que firma el análisis.  Ejemplo: Unidad de Análisis y Prospectiva" promptTitle="Quién responde del estudio" prompt="Persona o unidad que firma el análisis.  Ejemplo: Unidad de Análisis y Prospectiva" sqref="B22" xr:uid="{00000000-0002-0000-0100-000003000000}">
      <formula1>1</formula1>
      <formula2>250</formula2>
    </dataValidation>
  </dataValidations>
  <hyperlinks>
    <hyperlink ref="B2" location="'01 · Encuadre'!A1" display="Encuadre" xr:uid="{00000000-0004-0000-0100-000000000000}"/>
    <hyperlink ref="C2" location="'02 · Variables'!A1" display="Variables" xr:uid="{00000000-0004-0000-0100-000001000000}"/>
    <hyperlink ref="D2" location="'03 · Criterio'!A1" display="Criterio" xr:uid="{00000000-0004-0000-0100-000002000000}"/>
    <hyperlink ref="E2" location="'04 · Matriz'!A1" display="Matriz" xr:uid="{00000000-0004-0000-0100-000003000000}"/>
    <hyperlink ref="F2" location="'05 · Resultado'!A1" display="Resultado" xr:uid="{00000000-0004-0000-0100-000004000000}"/>
    <hyperlink ref="G2" location="'Comprobación'!A1" display="Revisión" xr:uid="{00000000-0004-0000-0100-000005000000}"/>
    <hyperlink ref="H2" location="'06 · Informe'!A1" display="Informe" xr:uid="{00000000-0004-0000-0100-000006000000}"/>
    <hyperlink ref="H2" location="Inicio!A1" display="Inicio" xr:uid="{00000000-0004-0000-0100-000007000000}"/>
    <hyperlink ref="B29" location="'02 · Variables'!A1" display="CONTINUAR AL PASO 2   ▶" xr:uid="{00000000-0004-0000-0100-000008000000}"/>
  </hyperlinks>
  <pageMargins left="0.4" right="0.4" top="0.5" bottom="0.5" header="0.3" footer="0.3"/>
  <pageSetup paperSize="9" fitToHeight="0" orientation="portrait"/>
  <headerFooter>
    <oddFooter>&amp;L&amp;"Aptos,Regular"&amp;8&amp;K94A0AEIntelKIT · MICMAC Essentials v1.0&amp;R&amp;"Aptos,Regular"&amp;8&amp;K94A0AEPágina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A3F9E"/>
    <pageSetUpPr fitToPage="1"/>
  </sheetPr>
  <dimension ref="A1:G107"/>
  <sheetViews>
    <sheetView showGridLines="0" zoomScaleNormal="100" workbookViewId="0">
      <pane ySplit="6" topLeftCell="A7" activePane="bottomLeft" state="frozen"/>
      <selection pane="bottomLeft"/>
    </sheetView>
  </sheetViews>
  <sheetFormatPr baseColWidth="10" defaultRowHeight="15" x14ac:dyDescent="0.2"/>
  <cols>
    <col min="1" max="1" width="3" customWidth="1"/>
    <col min="2" max="2" width="7" customWidth="1"/>
    <col min="3" max="3" width="36" customWidth="1"/>
    <col min="4" max="4" width="11" customWidth="1"/>
    <col min="5" max="5" width="50" customWidth="1"/>
    <col min="6" max="6" width="22" customWidth="1"/>
    <col min="7" max="7" width="16" customWidth="1"/>
  </cols>
  <sheetData>
    <row r="1" spans="1:7" ht="28" customHeight="1" x14ac:dyDescent="0.2">
      <c r="A1" s="36"/>
      <c r="B1" s="73" t="s">
        <v>94</v>
      </c>
      <c r="C1" s="73"/>
      <c r="D1" s="36"/>
      <c r="E1" s="36"/>
      <c r="F1" s="36"/>
      <c r="G1" s="37" t="s">
        <v>156</v>
      </c>
    </row>
    <row r="2" spans="1:7" ht="24" customHeight="1" x14ac:dyDescent="0.2">
      <c r="B2" s="39" t="str">
        <f>IF(COUNTA('01 · Encuadre'!$B$10,'01 · Encuadre'!$B$14,'01 · Encuadre'!$B$18,'01 · Encuadre'!$B$22)=4,"✓ 1 · Encuadre","1 · Encuadre")</f>
        <v>✓ 1 · Encuadre</v>
      </c>
      <c r="C2" s="38" t="s">
        <v>157</v>
      </c>
      <c r="D2" s="40" t="str">
        <f>IF(COUNTA('03 · Criterio'!$D$9:$D$23)=8,"✓ 3 · Criterio","3 · Criterio")</f>
        <v>✓ 3 · Criterio</v>
      </c>
      <c r="E2" s="40" t="str">
        <f>IF((SUMPRODUCT((ROW('04 · Matriz'!$C$6:$AA$30)-5&lt;=Var_N)*(COLUMN('04 · Matriz'!$C$6:$AA$30)-2&lt;=Var_N)*('04 · Matriz'!$C$6:$AA$30&lt;&gt;""))-Var_N&gt;=Ind_Preguntas),"✓ 4 · Matriz","4 · Matriz")</f>
        <v>4 · Matriz</v>
      </c>
      <c r="F2" s="40" t="str">
        <f>IF((SUMPRODUCT((ROW('04 · Matriz'!$C$6:$AA$30)-5&lt;=Var_N)*(COLUMN('04 · Matriz'!$C$6:$AA$30)-2&lt;=Var_N)*('04 · Matriz'!$C$6:$AA$30&lt;&gt;""))-Var_N&gt;=Ind_Preguntas),"✓ 5 · Resultado","5 · Resultado")</f>
        <v>5 · Resultado</v>
      </c>
      <c r="G2" s="40" t="s">
        <v>135</v>
      </c>
    </row>
    <row r="3" spans="1:7" ht="38" customHeight="1" x14ac:dyDescent="0.2">
      <c r="B3" s="76" t="s">
        <v>158</v>
      </c>
      <c r="C3" s="75"/>
      <c r="D3" s="75"/>
      <c r="E3" s="75"/>
      <c r="F3" s="75"/>
    </row>
    <row r="4" spans="1:7" ht="24" customHeight="1" x14ac:dyDescent="0.2">
      <c r="B4" s="88" t="s">
        <v>159</v>
      </c>
      <c r="C4" s="75"/>
      <c r="D4" s="75"/>
      <c r="E4" s="75"/>
      <c r="F4" s="75"/>
      <c r="G4" s="75"/>
    </row>
    <row r="5" spans="1:7" ht="30" customHeight="1" x14ac:dyDescent="0.2">
      <c r="B5" s="89" t="s">
        <v>160</v>
      </c>
      <c r="C5" s="75"/>
      <c r="D5" s="75"/>
      <c r="E5" s="75"/>
      <c r="F5" s="75"/>
      <c r="G5" s="75"/>
    </row>
    <row r="6" spans="1:7" ht="20" customHeight="1" x14ac:dyDescent="0.2">
      <c r="B6" s="51" t="s">
        <v>161</v>
      </c>
      <c r="C6" s="51" t="s">
        <v>162</v>
      </c>
      <c r="D6" s="52" t="s">
        <v>141</v>
      </c>
      <c r="E6" s="51" t="s">
        <v>163</v>
      </c>
      <c r="F6" s="51" t="s">
        <v>141</v>
      </c>
      <c r="G6" s="51" t="s">
        <v>141</v>
      </c>
    </row>
    <row r="7" spans="1:7" ht="26" customHeight="1" x14ac:dyDescent="0.2">
      <c r="B7" s="32" t="str">
        <f t="shared" ref="B7:B31" si="0">IF($C7="","","V"&amp;TEXT(ROW()-6,"00"))</f>
        <v/>
      </c>
      <c r="C7" s="23" t="s">
        <v>141</v>
      </c>
      <c r="D7" s="31" t="str">
        <f t="shared" ref="D7:D31" si="1">IF($C7="","",IF($E7="","falta","✓"))</f>
        <v/>
      </c>
      <c r="E7" s="23" t="s">
        <v>141</v>
      </c>
      <c r="F7" s="30" t="str">
        <f t="shared" ref="F7:F31" si="2">IF($C7="","",IF(COUNTIF($C$7:$C$31,$C7&amp;"")&gt;1,"⚠ nombre duplicado",IF(AND($C7&lt;&gt;"",COUNTIF($C$7:$C$31,LEFT($C7,12)&amp;"*")&gt;1),"⚠ muy parecido a otro",IF($E7="","⚠ falta la definición",IF(LEN($C7)&gt;60,"⚠ nombre demasiado largo",IF(LEN($E7)&lt;15,"⚠ definición demasiado corta",""))))))</f>
        <v/>
      </c>
      <c r="G7" s="30"/>
    </row>
    <row r="8" spans="1:7" ht="26" customHeight="1" x14ac:dyDescent="0.2">
      <c r="B8" s="32" t="str">
        <f t="shared" si="0"/>
        <v/>
      </c>
      <c r="C8" s="23" t="s">
        <v>141</v>
      </c>
      <c r="D8" s="31" t="str">
        <f t="shared" si="1"/>
        <v/>
      </c>
      <c r="E8" s="23" t="s">
        <v>141</v>
      </c>
      <c r="F8" s="30" t="str">
        <f t="shared" si="2"/>
        <v/>
      </c>
      <c r="G8" s="30"/>
    </row>
    <row r="9" spans="1:7" ht="26" customHeight="1" x14ac:dyDescent="0.2">
      <c r="B9" s="32" t="str">
        <f t="shared" si="0"/>
        <v/>
      </c>
      <c r="C9" s="23" t="s">
        <v>141</v>
      </c>
      <c r="D9" s="31" t="str">
        <f t="shared" si="1"/>
        <v/>
      </c>
      <c r="E9" s="23" t="s">
        <v>141</v>
      </c>
      <c r="F9" s="30" t="str">
        <f t="shared" si="2"/>
        <v/>
      </c>
      <c r="G9" s="30"/>
    </row>
    <row r="10" spans="1:7" ht="26" customHeight="1" x14ac:dyDescent="0.2">
      <c r="B10" s="32" t="str">
        <f t="shared" si="0"/>
        <v/>
      </c>
      <c r="C10" s="23" t="s">
        <v>141</v>
      </c>
      <c r="D10" s="31" t="str">
        <f t="shared" si="1"/>
        <v/>
      </c>
      <c r="E10" s="23" t="s">
        <v>141</v>
      </c>
      <c r="F10" s="30" t="str">
        <f t="shared" si="2"/>
        <v/>
      </c>
      <c r="G10" s="30"/>
    </row>
    <row r="11" spans="1:7" ht="26" customHeight="1" x14ac:dyDescent="0.2">
      <c r="B11" s="32" t="str">
        <f t="shared" si="0"/>
        <v/>
      </c>
      <c r="C11" s="23" t="s">
        <v>141</v>
      </c>
      <c r="D11" s="31" t="str">
        <f t="shared" si="1"/>
        <v/>
      </c>
      <c r="E11" s="23" t="s">
        <v>141</v>
      </c>
      <c r="F11" s="30" t="str">
        <f t="shared" si="2"/>
        <v/>
      </c>
      <c r="G11" s="30"/>
    </row>
    <row r="12" spans="1:7" ht="26" customHeight="1" x14ac:dyDescent="0.2">
      <c r="B12" s="32" t="str">
        <f t="shared" si="0"/>
        <v/>
      </c>
      <c r="C12" s="23" t="s">
        <v>141</v>
      </c>
      <c r="D12" s="31" t="str">
        <f t="shared" si="1"/>
        <v/>
      </c>
      <c r="E12" s="23" t="s">
        <v>141</v>
      </c>
      <c r="F12" s="30" t="str">
        <f t="shared" si="2"/>
        <v/>
      </c>
      <c r="G12" s="30"/>
    </row>
    <row r="13" spans="1:7" ht="26" customHeight="1" x14ac:dyDescent="0.2">
      <c r="B13" s="32" t="str">
        <f t="shared" si="0"/>
        <v/>
      </c>
      <c r="C13" s="23" t="s">
        <v>141</v>
      </c>
      <c r="D13" s="31" t="str">
        <f t="shared" si="1"/>
        <v/>
      </c>
      <c r="E13" s="23" t="s">
        <v>141</v>
      </c>
      <c r="F13" s="30" t="str">
        <f t="shared" si="2"/>
        <v/>
      </c>
      <c r="G13" s="30"/>
    </row>
    <row r="14" spans="1:7" ht="26" customHeight="1" x14ac:dyDescent="0.2">
      <c r="B14" s="32" t="str">
        <f t="shared" si="0"/>
        <v/>
      </c>
      <c r="C14" s="23" t="s">
        <v>141</v>
      </c>
      <c r="D14" s="31" t="str">
        <f t="shared" si="1"/>
        <v/>
      </c>
      <c r="E14" s="23" t="s">
        <v>141</v>
      </c>
      <c r="F14" s="30" t="str">
        <f t="shared" si="2"/>
        <v/>
      </c>
      <c r="G14" s="30"/>
    </row>
    <row r="15" spans="1:7" ht="26" customHeight="1" x14ac:dyDescent="0.2">
      <c r="B15" s="32" t="str">
        <f t="shared" si="0"/>
        <v/>
      </c>
      <c r="C15" s="23" t="s">
        <v>141</v>
      </c>
      <c r="D15" s="31" t="str">
        <f t="shared" si="1"/>
        <v/>
      </c>
      <c r="E15" s="23" t="s">
        <v>141</v>
      </c>
      <c r="F15" s="30" t="str">
        <f t="shared" si="2"/>
        <v/>
      </c>
      <c r="G15" s="30"/>
    </row>
    <row r="16" spans="1:7" ht="26" customHeight="1" x14ac:dyDescent="0.2">
      <c r="B16" s="32" t="str">
        <f t="shared" si="0"/>
        <v/>
      </c>
      <c r="C16" s="23" t="s">
        <v>141</v>
      </c>
      <c r="D16" s="31" t="str">
        <f t="shared" si="1"/>
        <v/>
      </c>
      <c r="E16" s="23" t="s">
        <v>141</v>
      </c>
      <c r="F16" s="30" t="str">
        <f t="shared" si="2"/>
        <v/>
      </c>
      <c r="G16" s="30"/>
    </row>
    <row r="17" spans="2:7" ht="26" customHeight="1" x14ac:dyDescent="0.2">
      <c r="B17" s="32" t="str">
        <f t="shared" si="0"/>
        <v/>
      </c>
      <c r="C17" s="23" t="s">
        <v>141</v>
      </c>
      <c r="D17" s="31" t="str">
        <f t="shared" si="1"/>
        <v/>
      </c>
      <c r="E17" s="23" t="s">
        <v>141</v>
      </c>
      <c r="F17" s="30" t="str">
        <f t="shared" si="2"/>
        <v/>
      </c>
      <c r="G17" s="30"/>
    </row>
    <row r="18" spans="2:7" ht="26" customHeight="1" x14ac:dyDescent="0.2">
      <c r="B18" s="32" t="str">
        <f t="shared" si="0"/>
        <v/>
      </c>
      <c r="C18" s="23" t="s">
        <v>141</v>
      </c>
      <c r="D18" s="31" t="str">
        <f t="shared" si="1"/>
        <v/>
      </c>
      <c r="E18" s="23" t="s">
        <v>141</v>
      </c>
      <c r="F18" s="30" t="str">
        <f t="shared" si="2"/>
        <v/>
      </c>
      <c r="G18" s="30"/>
    </row>
    <row r="19" spans="2:7" ht="26" customHeight="1" x14ac:dyDescent="0.2">
      <c r="B19" s="32" t="str">
        <f t="shared" si="0"/>
        <v/>
      </c>
      <c r="C19" s="23" t="s">
        <v>141</v>
      </c>
      <c r="D19" s="31" t="str">
        <f t="shared" si="1"/>
        <v/>
      </c>
      <c r="E19" s="23" t="s">
        <v>141</v>
      </c>
      <c r="F19" s="30" t="str">
        <f t="shared" si="2"/>
        <v/>
      </c>
      <c r="G19" s="30"/>
    </row>
    <row r="20" spans="2:7" ht="26" customHeight="1" x14ac:dyDescent="0.2">
      <c r="B20" s="32" t="str">
        <f t="shared" si="0"/>
        <v/>
      </c>
      <c r="C20" s="23" t="s">
        <v>141</v>
      </c>
      <c r="D20" s="31" t="str">
        <f t="shared" si="1"/>
        <v/>
      </c>
      <c r="E20" s="23" t="s">
        <v>141</v>
      </c>
      <c r="F20" s="30" t="str">
        <f t="shared" si="2"/>
        <v/>
      </c>
      <c r="G20" s="30"/>
    </row>
    <row r="21" spans="2:7" ht="26" customHeight="1" x14ac:dyDescent="0.2">
      <c r="B21" s="32" t="str">
        <f t="shared" si="0"/>
        <v/>
      </c>
      <c r="C21" s="23" t="s">
        <v>141</v>
      </c>
      <c r="D21" s="31" t="str">
        <f t="shared" si="1"/>
        <v/>
      </c>
      <c r="E21" s="23" t="s">
        <v>141</v>
      </c>
      <c r="F21" s="30" t="str">
        <f t="shared" si="2"/>
        <v/>
      </c>
      <c r="G21" s="30"/>
    </row>
    <row r="22" spans="2:7" ht="26" customHeight="1" x14ac:dyDescent="0.2">
      <c r="B22" s="32" t="str">
        <f t="shared" si="0"/>
        <v/>
      </c>
      <c r="C22" s="23" t="s">
        <v>141</v>
      </c>
      <c r="D22" s="31" t="str">
        <f t="shared" si="1"/>
        <v/>
      </c>
      <c r="E22" s="23" t="s">
        <v>141</v>
      </c>
      <c r="F22" s="30" t="str">
        <f t="shared" si="2"/>
        <v/>
      </c>
      <c r="G22" s="30"/>
    </row>
    <row r="23" spans="2:7" ht="26" customHeight="1" x14ac:dyDescent="0.2">
      <c r="B23" s="32" t="str">
        <f t="shared" si="0"/>
        <v/>
      </c>
      <c r="C23" s="23" t="s">
        <v>141</v>
      </c>
      <c r="D23" s="31" t="str">
        <f t="shared" si="1"/>
        <v/>
      </c>
      <c r="E23" s="23" t="s">
        <v>141</v>
      </c>
      <c r="F23" s="30" t="str">
        <f t="shared" si="2"/>
        <v/>
      </c>
      <c r="G23" s="30"/>
    </row>
    <row r="24" spans="2:7" ht="26" customHeight="1" x14ac:dyDescent="0.2">
      <c r="B24" s="32" t="str">
        <f t="shared" si="0"/>
        <v/>
      </c>
      <c r="C24" s="23" t="s">
        <v>141</v>
      </c>
      <c r="D24" s="31" t="str">
        <f t="shared" si="1"/>
        <v/>
      </c>
      <c r="E24" s="23" t="s">
        <v>141</v>
      </c>
      <c r="F24" s="30" t="str">
        <f t="shared" si="2"/>
        <v/>
      </c>
      <c r="G24" s="30"/>
    </row>
    <row r="25" spans="2:7" ht="26" customHeight="1" x14ac:dyDescent="0.2">
      <c r="B25" s="32" t="str">
        <f t="shared" si="0"/>
        <v/>
      </c>
      <c r="C25" s="23" t="s">
        <v>141</v>
      </c>
      <c r="D25" s="31" t="str">
        <f t="shared" si="1"/>
        <v/>
      </c>
      <c r="E25" s="23" t="s">
        <v>141</v>
      </c>
      <c r="F25" s="30" t="str">
        <f t="shared" si="2"/>
        <v/>
      </c>
      <c r="G25" s="30"/>
    </row>
    <row r="26" spans="2:7" ht="26" customHeight="1" x14ac:dyDescent="0.2">
      <c r="B26" s="32" t="str">
        <f t="shared" si="0"/>
        <v/>
      </c>
      <c r="C26" s="23" t="s">
        <v>141</v>
      </c>
      <c r="D26" s="31" t="str">
        <f t="shared" si="1"/>
        <v/>
      </c>
      <c r="E26" s="23" t="s">
        <v>141</v>
      </c>
      <c r="F26" s="30" t="str">
        <f t="shared" si="2"/>
        <v/>
      </c>
      <c r="G26" s="30"/>
    </row>
    <row r="27" spans="2:7" ht="26" customHeight="1" x14ac:dyDescent="0.2">
      <c r="B27" s="32" t="str">
        <f t="shared" si="0"/>
        <v/>
      </c>
      <c r="C27" s="23" t="s">
        <v>141</v>
      </c>
      <c r="D27" s="31" t="str">
        <f t="shared" si="1"/>
        <v/>
      </c>
      <c r="E27" s="23" t="s">
        <v>141</v>
      </c>
      <c r="F27" s="30" t="str">
        <f t="shared" si="2"/>
        <v/>
      </c>
      <c r="G27" s="30"/>
    </row>
    <row r="28" spans="2:7" ht="26" customHeight="1" x14ac:dyDescent="0.2">
      <c r="B28" s="32" t="str">
        <f t="shared" si="0"/>
        <v/>
      </c>
      <c r="C28" s="23" t="s">
        <v>141</v>
      </c>
      <c r="D28" s="31" t="str">
        <f t="shared" si="1"/>
        <v/>
      </c>
      <c r="E28" s="23" t="s">
        <v>141</v>
      </c>
      <c r="F28" s="30" t="str">
        <f t="shared" si="2"/>
        <v/>
      </c>
      <c r="G28" s="30"/>
    </row>
    <row r="29" spans="2:7" ht="26" customHeight="1" x14ac:dyDescent="0.2">
      <c r="B29" s="32" t="str">
        <f t="shared" si="0"/>
        <v/>
      </c>
      <c r="C29" s="23" t="s">
        <v>141</v>
      </c>
      <c r="D29" s="31" t="str">
        <f t="shared" si="1"/>
        <v/>
      </c>
      <c r="E29" s="23" t="s">
        <v>141</v>
      </c>
      <c r="F29" s="30" t="str">
        <f t="shared" si="2"/>
        <v/>
      </c>
      <c r="G29" s="30"/>
    </row>
    <row r="30" spans="2:7" ht="26" customHeight="1" x14ac:dyDescent="0.2">
      <c r="B30" s="32" t="str">
        <f t="shared" si="0"/>
        <v/>
      </c>
      <c r="C30" s="23" t="s">
        <v>141</v>
      </c>
      <c r="D30" s="31" t="str">
        <f t="shared" si="1"/>
        <v/>
      </c>
      <c r="E30" s="23" t="s">
        <v>141</v>
      </c>
      <c r="F30" s="30" t="str">
        <f t="shared" si="2"/>
        <v/>
      </c>
      <c r="G30" s="30"/>
    </row>
    <row r="31" spans="2:7" ht="26" customHeight="1" x14ac:dyDescent="0.2">
      <c r="B31" s="32" t="str">
        <f t="shared" si="0"/>
        <v/>
      </c>
      <c r="C31" s="23" t="s">
        <v>141</v>
      </c>
      <c r="D31" s="31" t="str">
        <f t="shared" si="1"/>
        <v/>
      </c>
      <c r="E31" s="23" t="s">
        <v>141</v>
      </c>
      <c r="F31" s="30" t="str">
        <f t="shared" si="2"/>
        <v/>
      </c>
      <c r="G31" s="30"/>
    </row>
    <row r="32" spans="2:7"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spans="2:7" hidden="1" x14ac:dyDescent="0.2"/>
    <row r="82" spans="2:7" hidden="1" x14ac:dyDescent="0.2"/>
    <row r="83" spans="2:7" hidden="1" x14ac:dyDescent="0.2"/>
    <row r="84" spans="2:7" hidden="1" x14ac:dyDescent="0.2"/>
    <row r="85" spans="2:7" hidden="1" x14ac:dyDescent="0.2"/>
    <row r="86" spans="2:7" hidden="1" x14ac:dyDescent="0.2"/>
    <row r="87" spans="2:7" hidden="1" x14ac:dyDescent="0.2"/>
    <row r="88" spans="2:7" ht="22" customHeight="1" x14ac:dyDescent="0.2">
      <c r="B88" s="77" t="s">
        <v>164</v>
      </c>
      <c r="C88" s="75"/>
      <c r="D88" s="75"/>
      <c r="E88" s="75"/>
      <c r="F88" s="75"/>
      <c r="G88" s="75"/>
    </row>
    <row r="89" spans="2:7" ht="42" customHeight="1" x14ac:dyDescent="0.2">
      <c r="B89" s="78">
        <f>COUNTA('02 · Variables'!$C$7:$C$31)</f>
        <v>25</v>
      </c>
      <c r="C89" s="75"/>
      <c r="D89" s="78">
        <f>COUNTA('02 · Variables'!$C$7:$C$31)*(COUNTA('02 · Variables'!$C$7:$C$31)-1)</f>
        <v>600</v>
      </c>
      <c r="E89" s="75"/>
      <c r="F89" s="78">
        <f>ROUND(COUNTA('02 · Variables'!$C$7:$C$31)*(COUNTA('02 · Variables'!$C$7:$C$31)-1)*12/60,0)</f>
        <v>120</v>
      </c>
      <c r="G89" s="75"/>
    </row>
    <row r="90" spans="2:7" ht="20" customHeight="1" x14ac:dyDescent="0.2">
      <c r="B90" s="77" t="s">
        <v>165</v>
      </c>
      <c r="C90" s="75"/>
      <c r="D90" s="77" t="s">
        <v>166</v>
      </c>
      <c r="E90" s="75"/>
      <c r="F90" s="77" t="s">
        <v>167</v>
      </c>
      <c r="G90" s="75"/>
    </row>
    <row r="92" spans="2:7" ht="22" customHeight="1" x14ac:dyDescent="0.2">
      <c r="B92" s="80" t="str">
        <f>IF(COUNTA('02 · Variables'!$C$7:$C$31)=0,"● Empiece por el factor más evidente",IF(COUNTA('02 · Variables'!$C$7:$C$31)&lt;8,"● Con menos de 8 factores el análisis no discrimina",IF(COUNTA('02 · Variables'!$C$7:$C$31)&lt;12,"● Válido, aunque por debajo del rango recomendado",IF(COUNTA('02 · Variables'!$C$7:$C$31)&gt;20,"● Por encima de 20 factores el estudio ocupa dos sesiones","● Está en el rango recomendado de 12 a 20"))))</f>
        <v>● Por encima de 20 factores el estudio ocupa dos sesiones</v>
      </c>
      <c r="C92" s="81"/>
      <c r="D92" s="81"/>
      <c r="E92" s="81"/>
      <c r="F92" s="81"/>
      <c r="G92" s="81"/>
    </row>
    <row r="93" spans="2:7" ht="24" customHeight="1" x14ac:dyDescent="0.2">
      <c r="B93" s="81" t="str">
        <f>IF(COUNTA('02 · Variables'!$C$7:$C$31)&gt;=25,"Ha alcanzado el límite de esta edición. Un estudio mayor pertenece a MICMAC Professional.","El trabajo crece con el cuadrado del número de factores: duplicar la lista lo cuadruplica.")</f>
        <v>Ha alcanzado el límite de esta edición. Un estudio mayor pertenece a MICMAC Professional.</v>
      </c>
      <c r="C93" s="81"/>
      <c r="D93" s="81"/>
      <c r="E93" s="81"/>
      <c r="F93" s="81"/>
      <c r="G93" s="81"/>
    </row>
    <row r="95" spans="2:7" ht="20" customHeight="1" x14ac:dyDescent="0.2">
      <c r="B95" s="77" t="s">
        <v>168</v>
      </c>
      <c r="C95" s="96"/>
      <c r="D95" s="96"/>
      <c r="E95" s="96"/>
      <c r="F95" s="96"/>
      <c r="G95" s="96"/>
    </row>
    <row r="96" spans="2:7" ht="22" customHeight="1" x14ac:dyDescent="0.2">
      <c r="B96" s="84" t="s">
        <v>169</v>
      </c>
      <c r="C96" s="95" t="str">
        <f>IF(COUNTA('02 · Variables'!$C$7:$C$31)&gt;=8,"✓","")</f>
        <v>✓</v>
      </c>
      <c r="D96" s="85" t="str">
        <f>IF(COUNTA('02 · Variables'!$C$7:$C$31)&gt;=8,"","Lleva "&amp;COUNTA('02 · Variables'!$C$7:$C$31)&amp;" de 8")</f>
        <v/>
      </c>
      <c r="E96" s="75"/>
      <c r="F96" s="77" t="s">
        <v>154</v>
      </c>
      <c r="G96" s="75"/>
    </row>
    <row r="97" spans="2:7" ht="22" customHeight="1" x14ac:dyDescent="0.2">
      <c r="B97" s="84" t="s">
        <v>170</v>
      </c>
      <c r="C97" s="95" t="str">
        <f>IF(COUNTA('02 · Variables'!$C$7:$C$31)&lt;=25,"✓","")</f>
        <v>✓</v>
      </c>
      <c r="D97" s="85" t="str">
        <f>IF(COUNTA('02 · Variables'!$C$7:$C$31)&lt;=25,"","Lleva "&amp;COUNTA('02 · Variables'!$C$7:$C$31)&amp;" de 25")</f>
        <v/>
      </c>
      <c r="E97" s="75"/>
      <c r="F97" s="94" t="str">
        <f>"Cinco pasos. La matriz es el más largo."</f>
        <v>Cinco pasos. La matriz es el más largo.</v>
      </c>
      <c r="G97" s="75"/>
    </row>
    <row r="98" spans="2:7" ht="22" customHeight="1" x14ac:dyDescent="0.2">
      <c r="B98" s="53" t="s">
        <v>171</v>
      </c>
      <c r="C98" s="57" t="str">
        <f>IF(SUMPRODUCT(('02 · Variables'!$C$7:$C$31&lt;&gt;"")*(COUNTIF('02 · Variables'!$C$7:$C$31,'02 · Variables'!$C$7:$C$31&amp;"")&gt;1))=0,"✓","")</f>
        <v>✓</v>
      </c>
      <c r="D98" s="85" t="str">
        <f>IF(SUMPRODUCT(('02 · Variables'!$C$7:$C$31&lt;&gt;"")*(COUNTIF('02 · Variables'!$C$7:$C$31,'02 · Variables'!$C$7:$C$31&amp;"")&gt;1))=0,"",SUMPRODUCT(('02 · Variables'!$C$7:$C$31&lt;&gt;"")*(COUNTIF('02 · Variables'!$C$7:$C$31,'02 · Variables'!$C$7:$C$31&amp;"")&gt;1))&amp;" duplicados")</f>
        <v/>
      </c>
      <c r="E98" s="75"/>
      <c r="F98" s="75"/>
      <c r="G98" s="75"/>
    </row>
    <row r="99" spans="2:7" ht="22" customHeight="1" x14ac:dyDescent="0.2">
      <c r="B99" s="84" t="s">
        <v>172</v>
      </c>
      <c r="C99" s="95" t="str">
        <f>IF(SUMPRODUCT(('02 · Variables'!$C$7:$C$31&lt;&gt;"")*(COUNTIF('02 · Variables'!$C$7:$C$31,LEFT('02 · Variables'!$C$7:$C$31,12)&amp;"*")&gt;1))-SUMPRODUCT(('02 · Variables'!$C$7:$C$31&lt;&gt;"")*(COUNTIF('02 · Variables'!$C$7:$C$31,'02 · Variables'!$C$7:$C$31&amp;"")&gt;1))=0,"✓","")</f>
        <v>✓</v>
      </c>
      <c r="D99" s="85" t="str">
        <f>IF(SUMPRODUCT(('02 · Variables'!$C$7:$C$31&lt;&gt;"")*(COUNTIF('02 · Variables'!$C$7:$C$31,LEFT('02 · Variables'!$C$7:$C$31,12)&amp;"*")&gt;1))-SUMPRODUCT(('02 · Variables'!$C$7:$C$31&lt;&gt;"")*(COUNTIF('02 · Variables'!$C$7:$C$31,'02 · Variables'!$C$7:$C$31&amp;"")&gt;1))=0,"",SUMPRODUCT(('02 · Variables'!$C$7:$C$31&lt;&gt;"")*(COUNTIF('02 · Variables'!$C$7:$C$31,LEFT('02 · Variables'!$C$7:$C$31,12)&amp;"*")&gt;1))-SUMPRODUCT(('02 · Variables'!$C$7:$C$31&lt;&gt;"")*(COUNTIF('02 · Variables'!$C$7:$C$31,'02 · Variables'!$C$7:$C$31&amp;"")&gt;1))&amp;" muy parecidos")</f>
        <v/>
      </c>
    </row>
    <row r="100" spans="2:7" ht="22" customHeight="1" x14ac:dyDescent="0.2">
      <c r="B100" s="53" t="s">
        <v>173</v>
      </c>
      <c r="C100" s="57" t="str">
        <f>IF(COUNTA('02 · Variables'!$E$7:$E$31)&gt;=COUNTA('02 · Variables'!$C$7:$C$31),"✓","")</f>
        <v>✓</v>
      </c>
      <c r="D100" s="85" t="str">
        <f>IF(COUNTA('02 · Variables'!$E$7:$E$31)&gt;=COUNTA('02 · Variables'!$C$7:$C$31),"",(COUNTA('02 · Variables'!$C$7:$C$31)-COUNTA('02 · Variables'!$E$7:$E$31))&amp;" sin definición")</f>
        <v/>
      </c>
      <c r="E100" s="75"/>
      <c r="F100" s="75"/>
      <c r="G100" s="75"/>
    </row>
    <row r="101" spans="2:7" ht="24" customHeight="1" x14ac:dyDescent="0.2">
      <c r="B101" s="97" t="str">
        <f>IF(COUNTA('02 · Variables'!$C$7:$C$31)=0,"● Empiece por el primer factor",IF(AND(COUNTA('02 · Variables'!$C$7:$C$31)&gt;=8,COUNTA('02 · Variables'!$C$7:$C$31)&lt;=25,SUMPRODUCT(('02 · Variables'!$C$7:$C$31&lt;&gt;"")*(COUNTIF('02 · Variables'!$C$7:$C$31,'02 · Variables'!$C$7:$C$31&amp;"")&gt;1))=0,SUMPRODUCT(('02 · Variables'!$C$7:$C$31&lt;&gt;"")*(COUNTIF('02 · Variables'!$C$7:$C$31,LEFT('02 · Variables'!$C$7:$C$31,12)&amp;"*")&gt;1))-SUMPRODUCT(('02 · Variables'!$C$7:$C$31&lt;&gt;"")*(COUNTIF('02 · Variables'!$C$7:$C$31,'02 · Variables'!$C$7:$C$31&amp;"")&gt;1))=0,COUNTA('02 · Variables'!$E$7:$E$31)&gt;=COUNTA('02 · Variables'!$C$7:$C$31)),"● Todo en orden. Puede continuar al paso 3","● Revise lo marcado antes de continuar: el análisis se calcula sobre esta lista"))</f>
        <v>● Todo en orden. Puede continuar al paso 3</v>
      </c>
      <c r="C101" s="98"/>
      <c r="D101" s="98"/>
      <c r="E101" s="98"/>
      <c r="F101" s="98"/>
      <c r="G101" s="98"/>
    </row>
    <row r="103" spans="2:7" ht="10" customHeight="1" x14ac:dyDescent="0.2">
      <c r="B103" s="56"/>
      <c r="C103" s="56"/>
      <c r="D103" s="56"/>
      <c r="E103" s="56"/>
      <c r="F103" s="56"/>
      <c r="G103" s="56"/>
    </row>
    <row r="104" spans="2:7" ht="18" customHeight="1" x14ac:dyDescent="0.2">
      <c r="B104" s="77" t="s">
        <v>152</v>
      </c>
      <c r="C104" s="75"/>
      <c r="D104" s="77" t="s">
        <v>153</v>
      </c>
      <c r="E104" s="75"/>
      <c r="F104" s="77" t="s">
        <v>154</v>
      </c>
      <c r="G104" s="75"/>
    </row>
    <row r="105" spans="2:7" ht="40" customHeight="1" x14ac:dyDescent="0.2">
      <c r="B105" s="94" t="str">
        <f>COUNTA('02 · Variables'!$C$7:$C$31)&amp;" factores definidos, "&amp;COUNTA('02 · Variables'!$E$7:$E$31)&amp;" con definición."</f>
        <v>25 factores definidos, 25 con definición.</v>
      </c>
      <c r="C105" s="75"/>
      <c r="D105" s="94" t="str">
        <f>"Acordar con el panel qué significa cada valor de la escala."</f>
        <v>Acordar con el panel qué significa cada valor de la escala.</v>
      </c>
      <c r="E105" s="75"/>
      <c r="F105" s="94" t="str">
        <f>"Cinco pasos. La matriz es el más largo."</f>
        <v>Cinco pasos. La matriz es el más largo.</v>
      </c>
      <c r="G105" s="75"/>
    </row>
    <row r="107" spans="2:7" ht="32" customHeight="1" x14ac:dyDescent="0.2">
      <c r="B107" s="82" t="s">
        <v>174</v>
      </c>
      <c r="C107" s="82"/>
      <c r="D107" s="82"/>
    </row>
  </sheetData>
  <sheetProtection password="CD7E" sheet="1" formatCells="0" formatColumns="0" formatRows="0" insertRows="0"/>
  <mergeCells count="31">
    <mergeCell ref="B107:D107"/>
    <mergeCell ref="B104:C104"/>
    <mergeCell ref="B105:C105"/>
    <mergeCell ref="D104:E104"/>
    <mergeCell ref="D105:E105"/>
    <mergeCell ref="F104:G104"/>
    <mergeCell ref="F105:G105"/>
    <mergeCell ref="B99:D99"/>
    <mergeCell ref="B95:G95"/>
    <mergeCell ref="D98:G98"/>
    <mergeCell ref="D100:G100"/>
    <mergeCell ref="B101:G101"/>
    <mergeCell ref="B92:G92"/>
    <mergeCell ref="B93:G93"/>
    <mergeCell ref="B96:C96"/>
    <mergeCell ref="B97:C97"/>
    <mergeCell ref="D96:E96"/>
    <mergeCell ref="D97:E97"/>
    <mergeCell ref="F96:G96"/>
    <mergeCell ref="F97:G97"/>
    <mergeCell ref="B89:C89"/>
    <mergeCell ref="D89:E89"/>
    <mergeCell ref="F89:G89"/>
    <mergeCell ref="B90:C90"/>
    <mergeCell ref="D90:E90"/>
    <mergeCell ref="F90:G90"/>
    <mergeCell ref="B1:C1"/>
    <mergeCell ref="B3:F3"/>
    <mergeCell ref="B4:G4"/>
    <mergeCell ref="B5:G5"/>
    <mergeCell ref="B88:G88"/>
  </mergeCells>
  <dataValidations count="2">
    <dataValidation type="textLength" allowBlank="1" showInputMessage="1" showErrorMessage="1" errorTitle="Valor no admitido" error="Máximo seis palabras. Debe distinguirse de las demás sin leer la definición. Ejemplo: «Corrupción de personal portuario»." promptTitle="Nombre corto y único" prompt="Máximo seis palabras. Debe distinguirse de las demás sin leer la definición. Ejemplo: «Corrupción de personal portuario»." sqref="C7:C31" xr:uid="{00000000-0002-0000-0200-000000000000}">
      <formula1>1</formula1>
      <formula2>60</formula2>
    </dataValidation>
    <dataValidation type="textLength" allowBlank="1" showInputMessage="1" showErrorMessage="1" errorTitle="Valor no admitido" error="Sin definición, dos miembros del panel valorarán cosas distintas. Ejemplo: «Porcentaje de contenedores inspeccionados y medios técnicos disponibles»." promptTitle="Qué se mide exactamente" prompt="Sin definición, dos miembros del panel valorarán cosas distintas. Ejemplo: «Porcentaje de contenedores inspeccionados y medios técnicos disponibles»." sqref="E7:E31" xr:uid="{00000000-0002-0000-0200-000001000000}">
      <formula1>1</formula1>
      <formula2>400</formula2>
    </dataValidation>
  </dataValidations>
  <hyperlinks>
    <hyperlink ref="B2" location="'01 · Encuadre'!A1" display="Encuadre" xr:uid="{00000000-0004-0000-0200-000000000000}"/>
    <hyperlink ref="C2" location="'02 · Variables'!A1" display="Variables" xr:uid="{00000000-0004-0000-0200-000001000000}"/>
    <hyperlink ref="D2" location="'03 · Criterio'!A1" display="Criterio" xr:uid="{00000000-0004-0000-0200-000002000000}"/>
    <hyperlink ref="E2" location="'04 · Matriz'!A1" display="Matriz" xr:uid="{00000000-0004-0000-0200-000003000000}"/>
    <hyperlink ref="F2" location="'05 · Resultado'!A1" display="Resultado" xr:uid="{00000000-0004-0000-0200-000004000000}"/>
    <hyperlink ref="G2" location="'Comprobación'!A1" display="Revisión" xr:uid="{00000000-0004-0000-0200-000005000000}"/>
    <hyperlink ref="G2" location="'06 · Informe'!A1" display="Informe" xr:uid="{00000000-0004-0000-0200-000006000000}"/>
    <hyperlink ref="G2" location="Inicio!A1" display="Inicio" xr:uid="{00000000-0004-0000-0200-000007000000}"/>
    <hyperlink ref="B99" location="'03 · Criterio'!A1" display="CONTINUAR AL PASO 3   ▶" xr:uid="{00000000-0004-0000-0200-000008000000}"/>
    <hyperlink ref="B107" location="'03 · Criterio'!A1" display="CONTINUAR AL PASO 3   ▶" xr:uid="{00000000-0004-0000-0200-000009000000}"/>
  </hyperlinks>
  <pageMargins left="0.4" right="0.4" top="0.5" bottom="0.5" header="0.3" footer="0.3"/>
  <pageSetup paperSize="9" fitToHeight="0" orientation="portrait"/>
  <headerFooter>
    <oddFooter>&amp;L&amp;"Aptos,Regular"&amp;8&amp;K94A0AEIntelKIT · MICMAC Essentials v1.0&amp;R&amp;"Aptos,Regular"&amp;8&amp;K94A0AEPágina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A3F9E"/>
    <pageSetUpPr fitToPage="1"/>
  </sheetPr>
  <dimension ref="A1:G49"/>
  <sheetViews>
    <sheetView showGridLines="0" zoomScaleNormal="100" workbookViewId="0">
      <pane ySplit="8" topLeftCell="A23" activePane="bottomLeft" state="frozen"/>
      <selection pane="bottomLeft"/>
    </sheetView>
  </sheetViews>
  <sheetFormatPr baseColWidth="10" defaultRowHeight="15" x14ac:dyDescent="0.2"/>
  <cols>
    <col min="1" max="1" width="3" customWidth="1"/>
    <col min="2" max="2" width="7" customWidth="1"/>
    <col min="3" max="3" width="54" customWidth="1"/>
    <col min="4" max="4" width="13" customWidth="1"/>
    <col min="5" max="5" width="42" customWidth="1"/>
    <col min="6" max="6" width="20" customWidth="1"/>
    <col min="7" max="7" width="14" customWidth="1"/>
  </cols>
  <sheetData>
    <row r="1" spans="1:7" ht="28" customHeight="1" x14ac:dyDescent="0.2">
      <c r="A1" s="36"/>
      <c r="B1" s="73" t="s">
        <v>94</v>
      </c>
      <c r="C1" s="73"/>
      <c r="D1" s="36"/>
      <c r="E1" s="36"/>
      <c r="F1" s="36"/>
      <c r="G1" s="37" t="s">
        <v>175</v>
      </c>
    </row>
    <row r="2" spans="1:7" ht="24" customHeight="1" x14ac:dyDescent="0.2">
      <c r="B2" s="39" t="str">
        <f>IF(COUNTA('01 · Encuadre'!$B$10,'01 · Encuadre'!$B$14,'01 · Encuadre'!$B$18,'01 · Encuadre'!$B$22)=4,"✓ 1 · Encuadre","1 · Encuadre")</f>
        <v>✓ 1 · Encuadre</v>
      </c>
      <c r="C2" s="39" t="str">
        <f>IF(COUNTA('02 · Variables'!$C$7:$C$31)&gt;=8,"✓ 2 · Variables","2 · Variables")</f>
        <v>✓ 2 · Variables</v>
      </c>
      <c r="D2" s="38" t="s">
        <v>176</v>
      </c>
      <c r="E2" s="40" t="str">
        <f>IF((SUMPRODUCT((ROW('04 · Matriz'!$C$6:$AA$30)-5&lt;=Var_N)*(COLUMN('04 · Matriz'!$C$6:$AA$30)-2&lt;=Var_N)*('04 · Matriz'!$C$6:$AA$30&lt;&gt;""))-Var_N&gt;=Ind_Preguntas),"✓ 4 · Matriz","4 · Matriz")</f>
        <v>4 · Matriz</v>
      </c>
      <c r="F2" s="40" t="str">
        <f>IF((SUMPRODUCT((ROW('04 · Matriz'!$C$6:$AA$30)-5&lt;=Var_N)*(COLUMN('04 · Matriz'!$C$6:$AA$30)-2&lt;=Var_N)*('04 · Matriz'!$C$6:$AA$30&lt;&gt;""))-Var_N&gt;=Ind_Preguntas),"✓ 5 · Resultado","5 · Resultado")</f>
        <v>5 · Resultado</v>
      </c>
      <c r="G2" s="40" t="s">
        <v>135</v>
      </c>
    </row>
    <row r="3" spans="1:7" ht="38" customHeight="1" x14ac:dyDescent="0.2">
      <c r="B3" s="76" t="s">
        <v>177</v>
      </c>
      <c r="C3" s="75"/>
      <c r="D3" s="75"/>
      <c r="E3" s="75"/>
      <c r="F3" s="75"/>
    </row>
    <row r="4" spans="1:7" ht="24" customHeight="1" x14ac:dyDescent="0.2">
      <c r="B4" s="88" t="s">
        <v>178</v>
      </c>
      <c r="C4" s="75"/>
      <c r="D4" s="75"/>
      <c r="E4" s="75"/>
      <c r="F4" s="75"/>
      <c r="G4" s="75"/>
    </row>
    <row r="5" spans="1:7" ht="30" customHeight="1" x14ac:dyDescent="0.2">
      <c r="B5" s="89" t="s">
        <v>179</v>
      </c>
      <c r="C5" s="75"/>
      <c r="D5" s="75"/>
      <c r="E5" s="75"/>
      <c r="F5" s="75"/>
      <c r="G5" s="75"/>
    </row>
    <row r="6" spans="1:7" ht="10" customHeight="1" x14ac:dyDescent="0.2">
      <c r="B6" s="56"/>
      <c r="C6" s="56"/>
      <c r="D6" s="56"/>
      <c r="E6" s="56"/>
      <c r="F6" s="56"/>
      <c r="G6" s="56"/>
    </row>
    <row r="7" spans="1:7" ht="20" customHeight="1" x14ac:dyDescent="0.2">
      <c r="B7" s="51" t="s">
        <v>141</v>
      </c>
      <c r="C7" s="51" t="s">
        <v>180</v>
      </c>
      <c r="D7" s="52" t="s">
        <v>181</v>
      </c>
      <c r="E7" s="51" t="s">
        <v>182</v>
      </c>
      <c r="F7" s="51" t="s">
        <v>141</v>
      </c>
      <c r="G7" s="51" t="s">
        <v>141</v>
      </c>
    </row>
    <row r="8" spans="1:7" ht="18" customHeight="1" x14ac:dyDescent="0.2">
      <c r="C8" s="83" t="s">
        <v>183</v>
      </c>
      <c r="D8" s="75"/>
      <c r="E8" s="75"/>
    </row>
    <row r="9" spans="1:7" ht="30" customHeight="1" x14ac:dyDescent="0.2">
      <c r="B9" s="43" t="s">
        <v>184</v>
      </c>
      <c r="C9" s="42" t="str">
        <f>IF(COUNTA('02 · Variables'!$C$7:$C$31)&lt;8,"Defina al menos 8 factores en el paso 2","¿Influye "&amp;'02 · Variables'!$C$7&amp;" sobre "&amp;'02 · Variables'!$C$9&amp;" de forma evidente y directa?")</f>
        <v>¿Influye  sobre  de forma evidente y directa?</v>
      </c>
      <c r="D9" s="24" t="s">
        <v>141</v>
      </c>
      <c r="E9" s="99" t="s">
        <v>185</v>
      </c>
      <c r="F9" s="99"/>
      <c r="G9" s="99"/>
    </row>
    <row r="10" spans="1:7" ht="6" customHeight="1" x14ac:dyDescent="0.2">
      <c r="B10" s="45"/>
      <c r="C10" s="45"/>
      <c r="D10" s="45"/>
      <c r="E10" s="45"/>
      <c r="F10" s="45"/>
      <c r="G10" s="45"/>
    </row>
    <row r="11" spans="1:7" ht="30" customHeight="1" x14ac:dyDescent="0.2">
      <c r="B11" s="43" t="s">
        <v>186</v>
      </c>
      <c r="C11" s="42" t="str">
        <f>IF(COUNTA('02 · Variables'!$C$7:$C$31)&lt;8,"Defina al menos 8 factores en el paso 2","¿Influye "&amp;'02 · Variables'!$C$8&amp;" sobre "&amp;'02 · Variables'!$C$11&amp;"? Si no ven el mecanismo, no lo hay.")</f>
        <v>¿Influye  sobre ? Si no ven el mecanismo, no lo hay.</v>
      </c>
      <c r="D11" s="24" t="s">
        <v>141</v>
      </c>
      <c r="E11" s="99" t="s">
        <v>187</v>
      </c>
      <c r="F11" s="99"/>
      <c r="G11" s="99"/>
    </row>
    <row r="12" spans="1:7" ht="6" customHeight="1" x14ac:dyDescent="0.2">
      <c r="B12" s="45"/>
      <c r="C12" s="45"/>
      <c r="D12" s="45"/>
      <c r="E12" s="45"/>
      <c r="F12" s="45"/>
      <c r="G12" s="45"/>
    </row>
    <row r="13" spans="1:7" ht="30" customHeight="1" x14ac:dyDescent="0.2">
      <c r="B13" s="43" t="s">
        <v>188</v>
      </c>
      <c r="C13" s="42" t="str">
        <f>IF(COUNTA('02 · Variables'!$C$7:$C$31)&lt;8,"Defina al menos 8 factores en el paso 2",""&amp;'02 · Variables'!$C$10&amp;" actúa sobre un tercer factor, y ese sobre "&amp;'02 · Variables'!$C$12&amp;". ¿Es directa?")</f>
        <v xml:space="preserve"> actúa sobre un tercer factor, y ese sobre . ¿Es directa?</v>
      </c>
      <c r="D13" s="24" t="s">
        <v>141</v>
      </c>
      <c r="E13" s="99" t="s">
        <v>189</v>
      </c>
      <c r="F13" s="99"/>
      <c r="G13" s="99"/>
    </row>
    <row r="14" spans="1:7" ht="6" customHeight="1" x14ac:dyDescent="0.2">
      <c r="B14" s="45"/>
      <c r="C14" s="45"/>
      <c r="D14" s="45"/>
      <c r="E14" s="45"/>
      <c r="F14" s="45"/>
      <c r="G14" s="45"/>
    </row>
    <row r="15" spans="1:7" ht="30" customHeight="1" x14ac:dyDescent="0.2">
      <c r="B15" s="43" t="s">
        <v>190</v>
      </c>
      <c r="C15" s="42" t="str">
        <f>IF(COUNTA('02 · Variables'!$C$7:$C$31)&lt;8,"Defina al menos 8 factores en el paso 2",""&amp;'02 · Variables'!$C$9&amp;" llega a "&amp;'02 · Variables'!$C$13&amp;" a través de otro factor de la lista. ¿Es directa?")</f>
        <v xml:space="preserve"> llega a  a través de otro factor de la lista. ¿Es directa?</v>
      </c>
      <c r="D15" s="24" t="s">
        <v>141</v>
      </c>
      <c r="E15" s="99" t="s">
        <v>191</v>
      </c>
      <c r="F15" s="99"/>
      <c r="G15" s="99"/>
    </row>
    <row r="16" spans="1:7" ht="6" customHeight="1" x14ac:dyDescent="0.2">
      <c r="B16" s="45"/>
      <c r="C16" s="45"/>
      <c r="D16" s="45"/>
      <c r="E16" s="45"/>
      <c r="F16" s="45"/>
      <c r="G16" s="45"/>
    </row>
    <row r="17" spans="2:7" ht="30" customHeight="1" x14ac:dyDescent="0.2">
      <c r="B17" s="43" t="s">
        <v>192</v>
      </c>
      <c r="C17" s="42" t="str">
        <f>IF(COUNTA('02 · Variables'!$C$7:$C$31)&lt;8,"Defina al menos 8 factores en el paso 2",""&amp;'02 · Variables'!$C$11&amp;" y "&amp;'02 · Variables'!$C$14&amp;" se refuerzan mutuamente. ¿Se valoran las dos celdas?")</f>
        <v xml:space="preserve"> y  se refuerzan mutuamente. ¿Se valoran las dos celdas?</v>
      </c>
      <c r="D17" s="24" t="s">
        <v>141</v>
      </c>
      <c r="E17" s="99" t="s">
        <v>193</v>
      </c>
      <c r="F17" s="99"/>
      <c r="G17" s="99"/>
    </row>
    <row r="18" spans="2:7" ht="6" customHeight="1" x14ac:dyDescent="0.2">
      <c r="B18" s="45"/>
      <c r="C18" s="45"/>
      <c r="D18" s="45"/>
      <c r="E18" s="45"/>
      <c r="F18" s="45"/>
      <c r="G18" s="45"/>
    </row>
    <row r="19" spans="2:7" ht="30" customHeight="1" x14ac:dyDescent="0.2">
      <c r="B19" s="43" t="s">
        <v>194</v>
      </c>
      <c r="C19" s="42" t="str">
        <f>IF(COUNTA('02 · Variables'!$C$7:$C$31)&lt;8,"Defina al menos 8 factores en el paso 2","Hoy no hay relación entre "&amp;'02 · Variables'!$C$12&amp;" y "&amp;'02 · Variables'!$C$8&amp;", pero la habrá en el horizonte.")</f>
        <v>Hoy no hay relación entre  y , pero la habrá en el horizonte.</v>
      </c>
      <c r="D19" s="24" t="s">
        <v>141</v>
      </c>
      <c r="E19" s="99" t="s">
        <v>195</v>
      </c>
      <c r="F19" s="99"/>
      <c r="G19" s="99"/>
    </row>
    <row r="20" spans="2:7" ht="6" customHeight="1" x14ac:dyDescent="0.2">
      <c r="B20" s="45"/>
      <c r="C20" s="45"/>
      <c r="D20" s="45"/>
      <c r="E20" s="45"/>
      <c r="F20" s="45"/>
      <c r="G20" s="45"/>
    </row>
    <row r="21" spans="2:7" ht="30" customHeight="1" x14ac:dyDescent="0.2">
      <c r="B21" s="43" t="s">
        <v>196</v>
      </c>
      <c r="C21" s="42" t="str">
        <f>IF(COUNTA('02 · Variables'!$C$7:$C$31)&lt;8,"Defina al menos 8 factores en el paso 2",""&amp;'02 · Variables'!$C$13&amp;" influye sobre "&amp;'02 · Variables'!$C$10&amp;" solo en algunos escenarios.")</f>
        <v xml:space="preserve"> influye sobre  solo en algunos escenarios.</v>
      </c>
      <c r="D21" s="24" t="s">
        <v>141</v>
      </c>
      <c r="E21" s="99" t="s">
        <v>197</v>
      </c>
      <c r="F21" s="99"/>
      <c r="G21" s="99"/>
    </row>
    <row r="22" spans="2:7" ht="6" customHeight="1" x14ac:dyDescent="0.2">
      <c r="B22" s="45"/>
      <c r="C22" s="45"/>
      <c r="D22" s="45"/>
      <c r="E22" s="45"/>
      <c r="F22" s="45"/>
      <c r="G22" s="45"/>
    </row>
    <row r="23" spans="2:7" ht="30" customHeight="1" x14ac:dyDescent="0.2">
      <c r="B23" s="43" t="s">
        <v>198</v>
      </c>
      <c r="C23" s="42" t="str">
        <f>IF(COUNTA('02 · Variables'!$C$7:$C$31)&lt;8,"Defina al menos 8 factores en el paso 2","¿Influye "&amp;'02 · Variables'!$C$14&amp;" sobre "&amp;'02 · Variables'!$C$7&amp;"? El panel no lo tiene claro.")</f>
        <v>¿Influye  sobre ? El panel no lo tiene claro.</v>
      </c>
      <c r="D23" s="24" t="s">
        <v>141</v>
      </c>
      <c r="E23" s="99" t="s">
        <v>199</v>
      </c>
      <c r="F23" s="99"/>
      <c r="G23" s="99"/>
    </row>
    <row r="24" spans="2:7" ht="6" customHeight="1" x14ac:dyDescent="0.2">
      <c r="B24" s="45"/>
      <c r="C24" s="45"/>
      <c r="D24" s="45"/>
      <c r="E24" s="45"/>
      <c r="F24" s="45"/>
      <c r="G24" s="45"/>
    </row>
    <row r="26" spans="2:7" ht="22" customHeight="1" x14ac:dyDescent="0.2">
      <c r="B26" s="77" t="s">
        <v>200</v>
      </c>
      <c r="C26" s="75"/>
      <c r="D26" s="75"/>
      <c r="E26" s="75"/>
      <c r="F26" s="75"/>
      <c r="G26" s="75"/>
    </row>
    <row r="27" spans="2:7" ht="20" customHeight="1" x14ac:dyDescent="0.2">
      <c r="B27" s="83" t="s">
        <v>201</v>
      </c>
      <c r="C27" s="75"/>
      <c r="D27" s="75"/>
      <c r="E27" s="75"/>
      <c r="F27" s="75"/>
      <c r="G27" s="75"/>
    </row>
    <row r="28" spans="2:7" ht="20" customHeight="1" x14ac:dyDescent="0.2">
      <c r="B28" s="44" t="s">
        <v>202</v>
      </c>
      <c r="C28" s="90" t="s">
        <v>203</v>
      </c>
      <c r="D28" s="75"/>
    </row>
    <row r="29" spans="2:7" ht="32" customHeight="1" x14ac:dyDescent="0.2">
      <c r="C29" s="100" t="s">
        <v>141</v>
      </c>
      <c r="D29" s="100"/>
      <c r="E29" s="100"/>
      <c r="F29" s="100"/>
      <c r="G29" s="100"/>
    </row>
    <row r="30" spans="2:7" ht="20" customHeight="1" x14ac:dyDescent="0.2">
      <c r="B30" s="44" t="s">
        <v>202</v>
      </c>
      <c r="C30" s="90" t="s">
        <v>204</v>
      </c>
      <c r="D30" s="75"/>
    </row>
    <row r="31" spans="2:7" ht="32" customHeight="1" x14ac:dyDescent="0.2">
      <c r="C31" s="100" t="s">
        <v>141</v>
      </c>
      <c r="D31" s="100"/>
      <c r="E31" s="100"/>
      <c r="F31" s="100"/>
      <c r="G31" s="100"/>
    </row>
    <row r="32" spans="2:7" ht="20" customHeight="1" x14ac:dyDescent="0.2">
      <c r="B32" s="44" t="s">
        <v>202</v>
      </c>
      <c r="C32" s="90" t="s">
        <v>205</v>
      </c>
      <c r="D32" s="75"/>
    </row>
    <row r="33" spans="2:7" ht="32" customHeight="1" x14ac:dyDescent="0.2">
      <c r="C33" s="100" t="s">
        <v>141</v>
      </c>
      <c r="D33" s="100"/>
      <c r="E33" s="100"/>
      <c r="F33" s="100"/>
      <c r="G33" s="100"/>
    </row>
    <row r="34" spans="2:7" ht="20" customHeight="1" x14ac:dyDescent="0.2">
      <c r="B34" s="44" t="s">
        <v>202</v>
      </c>
      <c r="C34" s="90" t="s">
        <v>206</v>
      </c>
      <c r="D34" s="75"/>
    </row>
    <row r="35" spans="2:7" ht="32" customHeight="1" x14ac:dyDescent="0.2">
      <c r="C35" s="100" t="s">
        <v>141</v>
      </c>
      <c r="D35" s="100"/>
      <c r="E35" s="100"/>
      <c r="F35" s="100"/>
      <c r="G35" s="100"/>
    </row>
    <row r="37" spans="2:7" ht="20" customHeight="1" x14ac:dyDescent="0.2">
      <c r="B37" s="77" t="s">
        <v>207</v>
      </c>
      <c r="C37" s="96"/>
      <c r="D37" s="96"/>
      <c r="E37" s="96"/>
      <c r="F37" s="96"/>
      <c r="G37" s="96"/>
    </row>
    <row r="38" spans="2:7" ht="30" customHeight="1" x14ac:dyDescent="0.2">
      <c r="B38" s="84" t="s">
        <v>208</v>
      </c>
      <c r="C38" s="95" t="str">
        <f>IF(COUNTA('03 · Criterio'!$D$9:$D$23)=8,"✓","⚠")</f>
        <v>✓</v>
      </c>
      <c r="D38" s="85" t="str">
        <f>IF(COUNTA('03 · Criterio'!$D$9:$D$23)=8,"","Faltan "&amp;(8-COUNTA('03 · Criterio'!$D$9:$D$23)))</f>
        <v/>
      </c>
      <c r="E38" s="85" t="s">
        <v>209</v>
      </c>
      <c r="F38" s="77" t="s">
        <v>154</v>
      </c>
      <c r="G38" s="75"/>
    </row>
    <row r="39" spans="2:7" ht="30" customHeight="1" x14ac:dyDescent="0.2">
      <c r="B39" s="84" t="s">
        <v>210</v>
      </c>
      <c r="C39" s="95" t="str">
        <f>IF(COUNTA('03 · Criterio'!$C$29,'03 · Criterio'!$C$31,'03 · Criterio'!$C$33,'03 · Criterio'!$C$35)=4,"✓","⚠")</f>
        <v>✓</v>
      </c>
      <c r="D39" s="85" t="str">
        <f>IF(COUNTA('03 · Criterio'!$C$29,'03 · Criterio'!$C$31,'03 · Criterio'!$C$33,'03 · Criterio'!$C$35)=4,"","Faltan "&amp;(4-COUNTA('03 · Criterio'!$C$29,'03 · Criterio'!$C$31,'03 · Criterio'!$C$33,'03 · Criterio'!$C$35))&amp;" campos")</f>
        <v/>
      </c>
      <c r="E39" s="85" t="s">
        <v>211</v>
      </c>
      <c r="F39" s="94" t="str">
        <f>"Cuatro pasos. Este es el momento de hacer una pausa antes del más largo."</f>
        <v>Cuatro pasos. Este es el momento de hacer una pausa antes del más largo.</v>
      </c>
      <c r="G39" s="75"/>
    </row>
    <row r="40" spans="2:7" ht="30" customHeight="1" x14ac:dyDescent="0.2">
      <c r="B40" s="53" t="s">
        <v>212</v>
      </c>
      <c r="C40" s="57" t="str">
        <f>IF((IF(OR('03 · Criterio'!$D$13="",OR('03 · Criterio'!$D$13=0,'03 · Criterio'!$D$13="0")),0,1)+IF(OR('03 · Criterio'!$D$15="",OR('03 · Criterio'!$D$15=0,'03 · Criterio'!$D$15="0")),0,1))=0,"✓","⚠")</f>
        <v>✓</v>
      </c>
      <c r="D40" s="55" t="str">
        <f>IF((IF(OR('03 · Criterio'!$D$13="",OR('03 · Criterio'!$D$13=0,'03 · Criterio'!$D$13="0")),0,1)+IF(OR('03 · Criterio'!$D$15="",OR('03 · Criterio'!$D$15=0,'03 · Criterio'!$D$15="0")),0,1))=0,"","Casos 3 o 4 distintos de 0")</f>
        <v/>
      </c>
      <c r="E40" s="85" t="s">
        <v>213</v>
      </c>
      <c r="F40" s="75"/>
      <c r="G40" s="75"/>
    </row>
    <row r="41" spans="2:7" ht="30" customHeight="1" x14ac:dyDescent="0.2">
      <c r="B41" s="84" t="s">
        <v>214</v>
      </c>
      <c r="C41" s="95" t="str">
        <f>IF(IF(OR('03 · Criterio'!$D$19="",OR('03 · Criterio'!$D$19=4,'03 · Criterio'!$D$19="4")),0,1)=0,"✓","⚠")</f>
        <v>✓</v>
      </c>
      <c r="D41" s="85" t="str">
        <f>IF(IF(OR('03 · Criterio'!$D$19="",OR('03 · Criterio'!$D$19=4,'03 · Criterio'!$D$19="4")),0,1)=0,"","Caso 6 distinto de 4")</f>
        <v/>
      </c>
      <c r="E41" s="85" t="s">
        <v>215</v>
      </c>
      <c r="F41" s="75"/>
      <c r="G41" s="75"/>
    </row>
    <row r="43" spans="2:7" ht="24" customHeight="1" x14ac:dyDescent="0.2">
      <c r="B43" s="97" t="str">
        <f>IF(COUNTA('03 · Criterio'!$D$9:$D$23)&lt;8,"● Aún faltan casos por acordar",IF(AND((IF(OR('03 · Criterio'!$D$13="",OR('03 · Criterio'!$D$13=0,'03 · Criterio'!$D$13="0")),0,1)+IF(OR('03 · Criterio'!$D$15="",OR('03 · Criterio'!$D$15=0,'03 · Criterio'!$D$15="0")),0,1))=0,IF(OR('03 · Criterio'!$D$19="",OR('03 · Criterio'!$D$19=4,'03 · Criterio'!$D$19="4")),0,1)=0,COUNTA('03 · Criterio'!$C$29,'03 · Criterio'!$C$31,'03 · Criterio'!$C$33,'03 · Criterio'!$C$35)=4),"● Criterio coherente. Pueden empezar a valorar","● Revisen lo marcado: afecta a cómo se interpretará toda la matriz"))</f>
        <v>● Criterio coherente. Pueden empezar a valorar</v>
      </c>
      <c r="C43" s="98"/>
      <c r="D43" s="98"/>
      <c r="E43" s="98"/>
      <c r="F43" s="98"/>
      <c r="G43" s="98"/>
    </row>
    <row r="45" spans="2:7" ht="10" customHeight="1" x14ac:dyDescent="0.2">
      <c r="B45" s="56"/>
      <c r="C45" s="56"/>
      <c r="D45" s="56"/>
      <c r="E45" s="56"/>
      <c r="F45" s="56"/>
      <c r="G45" s="56"/>
    </row>
    <row r="46" spans="2:7" ht="18" customHeight="1" x14ac:dyDescent="0.2">
      <c r="B46" s="77" t="s">
        <v>152</v>
      </c>
      <c r="C46" s="75"/>
      <c r="D46" s="77" t="s">
        <v>153</v>
      </c>
      <c r="E46" s="75"/>
      <c r="F46" s="77" t="s">
        <v>154</v>
      </c>
      <c r="G46" s="75"/>
    </row>
    <row r="47" spans="2:7" ht="40" customHeight="1" x14ac:dyDescent="0.2">
      <c r="B47" s="94" t="str">
        <f>"Han acordado "&amp;COUNTA('03 · Criterio'!$D$9:$D$23)&amp;" de 8 casos y "&amp;COUNTA('03 · Criterio'!$C$29,'03 · Criterio'!$C$31,'03 · Criterio'!$C$33,'03 · Criterio'!$C$35)&amp;" de 4 campos de la ficha."</f>
        <v>Han acordado 8 de 8 casos y 4 de 4 campos de la ficha.</v>
      </c>
      <c r="C47" s="75"/>
      <c r="D47" s="94" t="str">
        <f>"Valorar la matriz: "&amp;Ind_Preguntas&amp;" juicios, uno por cada par de factores."</f>
        <v>Valorar la matriz: 600 juicios, uno por cada par de factores.</v>
      </c>
      <c r="E47" s="75"/>
      <c r="F47" s="94" t="str">
        <f>"Cuatro pasos. Este es el momento de hacer una pausa antes del más largo."</f>
        <v>Cuatro pasos. Este es el momento de hacer una pausa antes del más largo.</v>
      </c>
      <c r="G47" s="75"/>
    </row>
    <row r="49" spans="2:4" ht="32" customHeight="1" x14ac:dyDescent="0.2">
      <c r="B49" s="82" t="s">
        <v>216</v>
      </c>
      <c r="C49" s="82"/>
      <c r="D49" s="82"/>
    </row>
  </sheetData>
  <sheetProtection password="CD7E" sheet="1" formatCells="0" formatColumns="0" formatRows="0" insertRows="0"/>
  <mergeCells count="41">
    <mergeCell ref="B49:D49"/>
    <mergeCell ref="B46:C46"/>
    <mergeCell ref="B47:C47"/>
    <mergeCell ref="D46:E46"/>
    <mergeCell ref="D47:E47"/>
    <mergeCell ref="F46:G46"/>
    <mergeCell ref="F47:G47"/>
    <mergeCell ref="B41:D41"/>
    <mergeCell ref="B37:G37"/>
    <mergeCell ref="E40:G40"/>
    <mergeCell ref="E41:G41"/>
    <mergeCell ref="B43:G43"/>
    <mergeCell ref="C33:G33"/>
    <mergeCell ref="C34:D34"/>
    <mergeCell ref="C35:G35"/>
    <mergeCell ref="B38:C38"/>
    <mergeCell ref="B39:C39"/>
    <mergeCell ref="D38:E38"/>
    <mergeCell ref="D39:E39"/>
    <mergeCell ref="F38:G38"/>
    <mergeCell ref="F39:G39"/>
    <mergeCell ref="C28:D28"/>
    <mergeCell ref="C29:G29"/>
    <mergeCell ref="C30:D30"/>
    <mergeCell ref="C31:G31"/>
    <mergeCell ref="C32:D32"/>
    <mergeCell ref="E19:G19"/>
    <mergeCell ref="E21:G21"/>
    <mergeCell ref="E23:G23"/>
    <mergeCell ref="B26:G26"/>
    <mergeCell ref="B27:G27"/>
    <mergeCell ref="E9:G9"/>
    <mergeCell ref="E11:G11"/>
    <mergeCell ref="E13:G13"/>
    <mergeCell ref="E15:G15"/>
    <mergeCell ref="E17:G17"/>
    <mergeCell ref="B1:C1"/>
    <mergeCell ref="B3:F3"/>
    <mergeCell ref="B4:G4"/>
    <mergeCell ref="B5:G5"/>
    <mergeCell ref="C8:E8"/>
  </mergeCells>
  <dataValidations count="1">
    <dataValidation type="list" allowBlank="1" showInputMessage="1" showErrorMessage="1" errorTitle="Valor no admitido" error="No hay respuesta correcta individual: hay una respuesta acordada. Discútanla y escríbanla." promptTitle="El valor que acuerda el panel" prompt="No hay respuesta correcta individual: hay una respuesta acordada. Discútanla y escríbanla." sqref="D9:D23" xr:uid="{00000000-0002-0000-0300-000000000000}">
      <formula1>"0,1,2,3,4,Sí,No"</formula1>
    </dataValidation>
  </dataValidations>
  <hyperlinks>
    <hyperlink ref="B2" location="'01 · Encuadre'!A1" display="Encuadre" xr:uid="{00000000-0004-0000-0300-000000000000}"/>
    <hyperlink ref="C2" location="'02 · Variables'!A1" display="Variables" xr:uid="{00000000-0004-0000-0300-000001000000}"/>
    <hyperlink ref="D2" location="'03 · Criterio'!A1" display="Criterio" xr:uid="{00000000-0004-0000-0300-000002000000}"/>
    <hyperlink ref="E2" location="'04 · Matriz'!A1" display="Matriz" xr:uid="{00000000-0004-0000-0300-000003000000}"/>
    <hyperlink ref="F2" location="'05 · Resultado'!A1" display="Resultado" xr:uid="{00000000-0004-0000-0300-000004000000}"/>
    <hyperlink ref="G2" location="'Comprobación'!A1" display="Revisión" xr:uid="{00000000-0004-0000-0300-000005000000}"/>
    <hyperlink ref="G2" location="'06 · Informe'!A1" display="Informe" xr:uid="{00000000-0004-0000-0300-000006000000}"/>
    <hyperlink ref="G2" location="Inicio!A1" display="Inicio" xr:uid="{00000000-0004-0000-0300-000007000000}"/>
    <hyperlink ref="B41" location="'04 · Matriz'!A1" display="CONTINUAR AL PASO 4   ▶" xr:uid="{00000000-0004-0000-0300-000008000000}"/>
    <hyperlink ref="B49" location="'04 · Matriz'!A1" display="CONTINUAR AL PASO 4   ▶" xr:uid="{00000000-0004-0000-0300-000009000000}"/>
  </hyperlinks>
  <pageMargins left="0.4" right="0.4" top="0.5" bottom="0.5" header="0.3" footer="0.3"/>
  <pageSetup paperSize="9" fitToHeight="0" orientation="portrait"/>
  <headerFooter>
    <oddFooter>&amp;L&amp;"Aptos,Regular"&amp;8&amp;K94A0AEIntelKIT · MICMAC Essentials v1.0&amp;R&amp;"Aptos,Regular"&amp;8&amp;K94A0AEPágina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A3F9E"/>
    <pageSetUpPr fitToPage="1"/>
  </sheetPr>
  <dimension ref="A1:CG95"/>
  <sheetViews>
    <sheetView showGridLines="0" zoomScaleNormal="100" workbookViewId="0">
      <pane ySplit="5" topLeftCell="A6" activePane="bottomLeft" state="frozen"/>
      <selection pane="bottomLeft"/>
    </sheetView>
  </sheetViews>
  <sheetFormatPr baseColWidth="10" defaultRowHeight="15" x14ac:dyDescent="0.2"/>
  <cols>
    <col min="1" max="1" width="3" customWidth="1"/>
    <col min="2" max="2" width="32" customWidth="1"/>
    <col min="3" max="27" width="4.6640625" customWidth="1"/>
    <col min="28" max="82" width="4.6640625" hidden="1" customWidth="1"/>
    <col min="83" max="83" width="3" customWidth="1"/>
    <col min="84" max="84" width="34" customWidth="1"/>
    <col min="85" max="85" width="13" customWidth="1"/>
  </cols>
  <sheetData>
    <row r="1" spans="1:85" ht="26" customHeight="1" x14ac:dyDescent="0.2">
      <c r="A1" s="36"/>
      <c r="B1" s="73" t="s">
        <v>94</v>
      </c>
      <c r="C1" s="73"/>
      <c r="D1" s="73"/>
      <c r="E1" s="73"/>
      <c r="F1" s="73"/>
      <c r="G1" s="73"/>
      <c r="H1" s="73"/>
      <c r="I1" s="73"/>
      <c r="J1" s="73"/>
      <c r="K1" s="73"/>
      <c r="L1" s="73"/>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7" t="s">
        <v>217</v>
      </c>
    </row>
    <row r="2" spans="1:85" ht="22" customHeight="1" x14ac:dyDescent="0.2">
      <c r="B2" s="39" t="str">
        <f>IF(COUNTA('01 · Encuadre'!$B$10,'01 · Encuadre'!$B$14,'01 · Encuadre'!$B$18,'01 · Encuadre'!$B$22)=4,"✓ 1 · Encuadre","1 · Encuadre")</f>
        <v>✓ 1 · Encuadre</v>
      </c>
      <c r="E2" s="39" t="str">
        <f>IF(COUNTA('02 · Variables'!$C$7:$C$31)&gt;=8,"✓ 2 · Variables","2 · Variables")</f>
        <v>✓ 2 · Variables</v>
      </c>
      <c r="H2" s="39" t="str">
        <f>IF(COUNTA('03 · Criterio'!$D$9:$D$23)=8,"✓ 3 · Criterio","3 · Criterio")</f>
        <v>✓ 3 · Criterio</v>
      </c>
      <c r="K2" s="38" t="s">
        <v>218</v>
      </c>
      <c r="N2" s="40" t="str">
        <f>IF((SUMPRODUCT((ROW('04 · Matriz'!$C$6:$AA$30)-5&lt;=Var_N)*(COLUMN('04 · Matriz'!$C$6:$AA$30)-2&lt;=Var_N)*('04 · Matriz'!$C$6:$AA$30&lt;&gt;""))-Var_N&gt;=Ind_Preguntas),"✓ 5 · Resultado","5 · Resultado")</f>
        <v>5 · Resultado</v>
      </c>
      <c r="Q2" s="40" t="str">
        <f>IF((SUMPRODUCT((ROW('04 · Matriz'!$C$6:$AA$30)-5&lt;=Var_N)*(COLUMN('04 · Matriz'!$C$6:$AA$30)-2&lt;=Var_N)*('04 · Matriz'!$C$6:$AA$30&lt;&gt;""))-Var_N&gt;=Ind_Preguntas),"✓ 6 · Revisión","6 · Revisión")</f>
        <v>6 · Revisión</v>
      </c>
      <c r="T2" s="40" t="str">
        <f>IF((SUMPRODUCT((ROW('04 · Matriz'!$C$6:$AA$30)-5&lt;=Var_N)*(COLUMN('04 · Matriz'!$C$6:$AA$30)-2&lt;=Var_N)*('04 · Matriz'!$C$6:$AA$30&lt;&gt;""))-Var_N&gt;=Ind_Preguntas),"✓ 7 · Informe","7 · Informe")</f>
        <v>7 · Informe</v>
      </c>
      <c r="CG2" s="40" t="s">
        <v>135</v>
      </c>
    </row>
    <row r="3" spans="1:85" ht="24" customHeight="1" x14ac:dyDescent="0.2">
      <c r="B3" s="101" t="str">
        <f>"Ahora valore la intensidad: ¿influye DIRECTAMENTE la fila sobre la columna?        0 ninguna  ·  1 débil  ·  2 media  ·  3 fuerte        |        4 potencial: hoy no, pero sí dentro de su horizonte"</f>
        <v>Ahora valore la intensidad: ¿influye DIRECTAMENTE la fila sobre la columna?        0 ninguna  ·  1 débil  ·  2 media  ·  3 fuerte        |        4 potencial: hoy no, pero sí dentro de su horizonte</v>
      </c>
      <c r="C3" s="75"/>
      <c r="D3" s="75"/>
      <c r="E3" s="75"/>
      <c r="F3" s="75"/>
      <c r="G3" s="75"/>
      <c r="H3" s="75"/>
      <c r="I3" s="75"/>
      <c r="J3" s="75"/>
      <c r="K3" s="75"/>
      <c r="L3" s="75"/>
      <c r="M3" s="75"/>
      <c r="N3" s="75"/>
      <c r="O3" s="75"/>
      <c r="P3" s="75"/>
      <c r="Q3" s="75"/>
      <c r="R3" s="75"/>
      <c r="S3" s="75"/>
      <c r="T3" s="75"/>
      <c r="U3" s="75"/>
      <c r="V3" s="75"/>
    </row>
    <row r="4" spans="1:85" ht="26" customHeight="1" x14ac:dyDescent="0.2">
      <c r="B4" s="102" t="str">
        <f>"SIN FACTORES INTERMEDIOS. Si la fila llega a la columna a través de un tercero, escriba 0: el cálculo lo recupera solo.        Progreso: "&amp;TEXT(MAX(0,SUMPRODUCT((ROW('04 · Matriz'!$C$6:$AA$30)-5&lt;=Var_N)*(COLUMN('04 · Matriz'!$C$6:$AA$30)-2&lt;=Var_N)*('04 · Matriz'!$C$6:$AA$30&lt;&gt;""))-Var_N),"#,##0")&amp;" de "&amp;TEXT(Ind_Preguntas,"#,##0")&amp;IF(Ind_Preguntas=0,""," ("&amp;TEXT(MAX(0,SUMPRODUCT((ROW('04 · Matriz'!$C$6:$AA$30)-5&lt;=Var_N)*(COLUMN('04 · Matriz'!$C$6:$AA$30)-2&lt;=Var_N)*('04 · Matriz'!$C$6:$AA$30&lt;&gt;""))-Var_N)/Ind_Preguntas,"0%")&amp;")")</f>
        <v>SIN FACTORES INTERMEDIOS. Si la fila llega a la columna a través de un tercero, escriba 0: el cálculo lo recupera solo.        Progreso: ,0 de 600,0 (0%)</v>
      </c>
      <c r="C4" s="102"/>
      <c r="D4" s="102"/>
      <c r="E4" s="102"/>
      <c r="F4" s="102"/>
      <c r="G4" s="102"/>
      <c r="H4" s="102"/>
      <c r="I4" s="102"/>
      <c r="J4" s="102"/>
      <c r="K4" s="102"/>
      <c r="L4" s="102"/>
      <c r="M4" s="102"/>
      <c r="N4" s="102"/>
      <c r="O4" s="102"/>
      <c r="P4" s="102"/>
      <c r="Q4" s="102"/>
      <c r="R4" s="102"/>
      <c r="S4" s="102"/>
      <c r="T4" s="102"/>
      <c r="U4" s="102"/>
      <c r="V4" s="102"/>
    </row>
    <row r="5" spans="1:85" ht="30" customHeight="1" x14ac:dyDescent="0.2">
      <c r="B5" s="25" t="s">
        <v>219</v>
      </c>
      <c r="C5" s="34" t="str">
        <f>IF(1&gt;Var_N,"",'02 · Variables'!$B$7)</f>
        <v/>
      </c>
      <c r="D5" s="34" t="str">
        <f>IF(2&gt;Var_N,"",'02 · Variables'!$B$8)</f>
        <v/>
      </c>
      <c r="E5" s="34" t="str">
        <f>IF(3&gt;Var_N,"",'02 · Variables'!$B$9)</f>
        <v/>
      </c>
      <c r="F5" s="34" t="str">
        <f>IF(4&gt;Var_N,"",'02 · Variables'!$B$10)</f>
        <v/>
      </c>
      <c r="G5" s="34" t="str">
        <f>IF(5&gt;Var_N,"",'02 · Variables'!$B$11)</f>
        <v/>
      </c>
      <c r="H5" s="34" t="str">
        <f>IF(6&gt;Var_N,"",'02 · Variables'!$B$12)</f>
        <v/>
      </c>
      <c r="I5" s="34" t="str">
        <f>IF(7&gt;Var_N,"",'02 · Variables'!$B$13)</f>
        <v/>
      </c>
      <c r="J5" s="34" t="str">
        <f>IF(8&gt;Var_N,"",'02 · Variables'!$B$14)</f>
        <v/>
      </c>
      <c r="K5" s="34" t="str">
        <f>IF(9&gt;Var_N,"",'02 · Variables'!$B$15)</f>
        <v/>
      </c>
      <c r="L5" s="34" t="str">
        <f>IF(10&gt;Var_N,"",'02 · Variables'!$B$16)</f>
        <v/>
      </c>
      <c r="M5" s="34" t="str">
        <f>IF(11&gt;Var_N,"",'02 · Variables'!$B$17)</f>
        <v/>
      </c>
      <c r="N5" s="34" t="str">
        <f>IF(12&gt;Var_N,"",'02 · Variables'!$B$18)</f>
        <v/>
      </c>
      <c r="O5" s="34" t="str">
        <f>IF(13&gt;Var_N,"",'02 · Variables'!$B$19)</f>
        <v/>
      </c>
      <c r="P5" s="34" t="str">
        <f>IF(14&gt;Var_N,"",'02 · Variables'!$B$20)</f>
        <v/>
      </c>
      <c r="Q5" s="34" t="str">
        <f>IF(15&gt;Var_N,"",'02 · Variables'!$B$21)</f>
        <v/>
      </c>
      <c r="R5" s="34" t="str">
        <f>IF(16&gt;Var_N,"",'02 · Variables'!$B$22)</f>
        <v/>
      </c>
      <c r="S5" s="34" t="str">
        <f>IF(17&gt;Var_N,"",'02 · Variables'!$B$23)</f>
        <v/>
      </c>
      <c r="T5" s="34" t="str">
        <f>IF(18&gt;Var_N,"",'02 · Variables'!$B$24)</f>
        <v/>
      </c>
      <c r="U5" s="34" t="str">
        <f>IF(19&gt;Var_N,"",'02 · Variables'!$B$25)</f>
        <v/>
      </c>
      <c r="V5" s="34" t="str">
        <f>IF(20&gt;Var_N,"",'02 · Variables'!$B$26)</f>
        <v/>
      </c>
      <c r="W5" s="34" t="str">
        <f>IF(21&gt;Var_N,"",'02 · Variables'!$B$27)</f>
        <v/>
      </c>
      <c r="X5" s="34" t="str">
        <f>IF(22&gt;Var_N,"",'02 · Variables'!$B$28)</f>
        <v/>
      </c>
      <c r="Y5" s="34" t="str">
        <f>IF(23&gt;Var_N,"",'02 · Variables'!$B$29)</f>
        <v/>
      </c>
      <c r="Z5" s="34" t="str">
        <f>IF(24&gt;Var_N,"",'02 · Variables'!$B$30)</f>
        <v/>
      </c>
      <c r="AA5" s="34" t="str">
        <f>IF(25&gt;Var_N,"",'02 · Variables'!$B$31)</f>
        <v/>
      </c>
      <c r="CE5" s="25"/>
      <c r="CF5" s="25" t="s">
        <v>220</v>
      </c>
      <c r="CG5" s="26" t="s">
        <v>221</v>
      </c>
    </row>
    <row r="6" spans="1:85" ht="19" customHeight="1" x14ac:dyDescent="0.2">
      <c r="B6" s="35" t="str">
        <f>IF(1&gt;Var_N,"",'02 · Variables'!$B$7&amp;"   "&amp;'02 · Variables'!$C$7)</f>
        <v xml:space="preserve">   </v>
      </c>
      <c r="C6" s="33">
        <v>0</v>
      </c>
      <c r="D6" s="24" t="s">
        <v>141</v>
      </c>
      <c r="E6" s="24" t="s">
        <v>141</v>
      </c>
      <c r="F6" s="24" t="s">
        <v>141</v>
      </c>
      <c r="G6" s="24" t="s">
        <v>141</v>
      </c>
      <c r="H6" s="24" t="s">
        <v>141</v>
      </c>
      <c r="I6" s="24" t="s">
        <v>141</v>
      </c>
      <c r="J6" s="24" t="s">
        <v>141</v>
      </c>
      <c r="K6" s="24" t="s">
        <v>141</v>
      </c>
      <c r="L6" s="24" t="s">
        <v>141</v>
      </c>
      <c r="M6" s="24" t="s">
        <v>141</v>
      </c>
      <c r="N6" s="24" t="s">
        <v>141</v>
      </c>
      <c r="O6" s="24" t="s">
        <v>141</v>
      </c>
      <c r="P6" s="24" t="s">
        <v>141</v>
      </c>
      <c r="Q6" s="24" t="s">
        <v>141</v>
      </c>
      <c r="R6" s="24" t="s">
        <v>141</v>
      </c>
      <c r="S6" s="24" t="s">
        <v>141</v>
      </c>
      <c r="T6" s="24" t="s">
        <v>141</v>
      </c>
      <c r="U6" s="24" t="s">
        <v>141</v>
      </c>
      <c r="V6" s="24" t="s">
        <v>141</v>
      </c>
      <c r="W6" s="24" t="s">
        <v>141</v>
      </c>
      <c r="X6" s="24" t="s">
        <v>141</v>
      </c>
      <c r="Y6" s="24" t="s">
        <v>141</v>
      </c>
      <c r="Z6" s="24" t="s">
        <v>141</v>
      </c>
      <c r="AA6" s="24" t="s">
        <v>141</v>
      </c>
      <c r="CE6" s="30"/>
      <c r="CF6" s="30" t="str">
        <f>IF(1&gt;Var_N,"",'02 · Variables'!$E$7)</f>
        <v/>
      </c>
      <c r="CG6" s="31" t="str">
        <f>IF(1&gt;Var_N,"",IF(COUNTA($C6:$AA6)-1&gt;=Var_N-1,"✓ completa",(Var_N-1)-(COUNTA($C6:$AA6)-1)&amp;" faltan"))</f>
        <v>✓ completa</v>
      </c>
    </row>
    <row r="7" spans="1:85" ht="19" customHeight="1" x14ac:dyDescent="0.2">
      <c r="B7" s="35" t="str">
        <f>IF(2&gt;Var_N,"",'02 · Variables'!$B$8&amp;"   "&amp;'02 · Variables'!$C$8)</f>
        <v xml:space="preserve">   </v>
      </c>
      <c r="C7" s="24" t="s">
        <v>141</v>
      </c>
      <c r="D7" s="33">
        <v>0</v>
      </c>
      <c r="E7" s="24" t="s">
        <v>141</v>
      </c>
      <c r="F7" s="24" t="s">
        <v>141</v>
      </c>
      <c r="G7" s="24" t="s">
        <v>141</v>
      </c>
      <c r="H7" s="24" t="s">
        <v>141</v>
      </c>
      <c r="I7" s="24" t="s">
        <v>141</v>
      </c>
      <c r="J7" s="24" t="s">
        <v>141</v>
      </c>
      <c r="K7" s="24" t="s">
        <v>141</v>
      </c>
      <c r="L7" s="24" t="s">
        <v>141</v>
      </c>
      <c r="M7" s="24" t="s">
        <v>141</v>
      </c>
      <c r="N7" s="24" t="s">
        <v>141</v>
      </c>
      <c r="O7" s="24" t="s">
        <v>141</v>
      </c>
      <c r="P7" s="24" t="s">
        <v>141</v>
      </c>
      <c r="Q7" s="24" t="s">
        <v>141</v>
      </c>
      <c r="R7" s="24" t="s">
        <v>141</v>
      </c>
      <c r="S7" s="24" t="s">
        <v>141</v>
      </c>
      <c r="T7" s="24" t="s">
        <v>141</v>
      </c>
      <c r="U7" s="24" t="s">
        <v>141</v>
      </c>
      <c r="V7" s="24" t="s">
        <v>141</v>
      </c>
      <c r="W7" s="24" t="s">
        <v>141</v>
      </c>
      <c r="X7" s="24" t="s">
        <v>141</v>
      </c>
      <c r="Y7" s="24" t="s">
        <v>141</v>
      </c>
      <c r="Z7" s="24" t="s">
        <v>141</v>
      </c>
      <c r="AA7" s="24" t="s">
        <v>141</v>
      </c>
      <c r="CE7" s="30"/>
      <c r="CF7" s="30" t="str">
        <f>IF(2&gt;Var_N,"",'02 · Variables'!$E$8)</f>
        <v/>
      </c>
      <c r="CG7" s="31" t="str">
        <f>IF(2&gt;Var_N,"",IF(COUNTA($C7:$AA7)-1&gt;=Var_N-1,"✓ completa",(Var_N-1)-(COUNTA($C7:$AA7)-1)&amp;" faltan"))</f>
        <v>✓ completa</v>
      </c>
    </row>
    <row r="8" spans="1:85" ht="19" customHeight="1" x14ac:dyDescent="0.2">
      <c r="B8" s="35" t="str">
        <f>IF(3&gt;Var_N,"",'02 · Variables'!$B$9&amp;"   "&amp;'02 · Variables'!$C$9)</f>
        <v xml:space="preserve">   </v>
      </c>
      <c r="C8" s="24" t="s">
        <v>141</v>
      </c>
      <c r="D8" s="24" t="s">
        <v>141</v>
      </c>
      <c r="E8" s="33">
        <v>0</v>
      </c>
      <c r="F8" s="24" t="s">
        <v>141</v>
      </c>
      <c r="G8" s="24" t="s">
        <v>141</v>
      </c>
      <c r="H8" s="24" t="s">
        <v>141</v>
      </c>
      <c r="I8" s="24" t="s">
        <v>141</v>
      </c>
      <c r="J8" s="24" t="s">
        <v>141</v>
      </c>
      <c r="K8" s="24" t="s">
        <v>141</v>
      </c>
      <c r="L8" s="24" t="s">
        <v>141</v>
      </c>
      <c r="M8" s="24" t="s">
        <v>141</v>
      </c>
      <c r="N8" s="24" t="s">
        <v>141</v>
      </c>
      <c r="O8" s="24" t="s">
        <v>141</v>
      </c>
      <c r="P8" s="24" t="s">
        <v>141</v>
      </c>
      <c r="Q8" s="24" t="s">
        <v>141</v>
      </c>
      <c r="R8" s="24" t="s">
        <v>141</v>
      </c>
      <c r="S8" s="24" t="s">
        <v>141</v>
      </c>
      <c r="T8" s="24" t="s">
        <v>141</v>
      </c>
      <c r="U8" s="24" t="s">
        <v>141</v>
      </c>
      <c r="V8" s="24" t="s">
        <v>141</v>
      </c>
      <c r="W8" s="24" t="s">
        <v>141</v>
      </c>
      <c r="X8" s="24" t="s">
        <v>141</v>
      </c>
      <c r="Y8" s="24" t="s">
        <v>141</v>
      </c>
      <c r="Z8" s="24" t="s">
        <v>141</v>
      </c>
      <c r="AA8" s="24" t="s">
        <v>141</v>
      </c>
      <c r="CE8" s="30"/>
      <c r="CF8" s="30" t="str">
        <f>IF(3&gt;Var_N,"",'02 · Variables'!$E$9)</f>
        <v/>
      </c>
      <c r="CG8" s="31" t="str">
        <f>IF(3&gt;Var_N,"",IF(COUNTA($C8:$AA8)-1&gt;=Var_N-1,"✓ completa",(Var_N-1)-(COUNTA($C8:$AA8)-1)&amp;" faltan"))</f>
        <v>✓ completa</v>
      </c>
    </row>
    <row r="9" spans="1:85" ht="19" customHeight="1" x14ac:dyDescent="0.2">
      <c r="B9" s="35" t="str">
        <f>IF(4&gt;Var_N,"",'02 · Variables'!$B$10&amp;"   "&amp;'02 · Variables'!$C$10)</f>
        <v xml:space="preserve">   </v>
      </c>
      <c r="C9" s="24" t="s">
        <v>141</v>
      </c>
      <c r="D9" s="24" t="s">
        <v>141</v>
      </c>
      <c r="E9" s="24" t="s">
        <v>141</v>
      </c>
      <c r="F9" s="33">
        <v>0</v>
      </c>
      <c r="G9" s="24" t="s">
        <v>141</v>
      </c>
      <c r="H9" s="24" t="s">
        <v>141</v>
      </c>
      <c r="I9" s="24" t="s">
        <v>141</v>
      </c>
      <c r="J9" s="24" t="s">
        <v>141</v>
      </c>
      <c r="K9" s="24" t="s">
        <v>141</v>
      </c>
      <c r="L9" s="24" t="s">
        <v>141</v>
      </c>
      <c r="M9" s="24" t="s">
        <v>141</v>
      </c>
      <c r="N9" s="24" t="s">
        <v>141</v>
      </c>
      <c r="O9" s="24" t="s">
        <v>141</v>
      </c>
      <c r="P9" s="24" t="s">
        <v>141</v>
      </c>
      <c r="Q9" s="24" t="s">
        <v>141</v>
      </c>
      <c r="R9" s="24" t="s">
        <v>141</v>
      </c>
      <c r="S9" s="24" t="s">
        <v>141</v>
      </c>
      <c r="T9" s="24" t="s">
        <v>141</v>
      </c>
      <c r="U9" s="24" t="s">
        <v>141</v>
      </c>
      <c r="V9" s="24" t="s">
        <v>141</v>
      </c>
      <c r="W9" s="24" t="s">
        <v>141</v>
      </c>
      <c r="X9" s="24" t="s">
        <v>141</v>
      </c>
      <c r="Y9" s="24" t="s">
        <v>141</v>
      </c>
      <c r="Z9" s="24" t="s">
        <v>141</v>
      </c>
      <c r="AA9" s="24" t="s">
        <v>141</v>
      </c>
      <c r="CE9" s="30"/>
      <c r="CF9" s="30" t="str">
        <f>IF(4&gt;Var_N,"",'02 · Variables'!$E$10)</f>
        <v/>
      </c>
      <c r="CG9" s="31" t="str">
        <f>IF(4&gt;Var_N,"",IF(COUNTA($C9:$AA9)-1&gt;=Var_N-1,"✓ completa",(Var_N-1)-(COUNTA($C9:$AA9)-1)&amp;" faltan"))</f>
        <v>✓ completa</v>
      </c>
    </row>
    <row r="10" spans="1:85" ht="19" customHeight="1" x14ac:dyDescent="0.2">
      <c r="B10" s="35" t="str">
        <f>IF(5&gt;Var_N,"",'02 · Variables'!$B$11&amp;"   "&amp;'02 · Variables'!$C$11)</f>
        <v xml:space="preserve">   </v>
      </c>
      <c r="C10" s="24" t="s">
        <v>141</v>
      </c>
      <c r="D10" s="24" t="s">
        <v>141</v>
      </c>
      <c r="E10" s="24" t="s">
        <v>141</v>
      </c>
      <c r="F10" s="24" t="s">
        <v>141</v>
      </c>
      <c r="G10" s="33">
        <v>0</v>
      </c>
      <c r="H10" s="24" t="s">
        <v>141</v>
      </c>
      <c r="I10" s="24" t="s">
        <v>141</v>
      </c>
      <c r="J10" s="24" t="s">
        <v>141</v>
      </c>
      <c r="K10" s="24" t="s">
        <v>141</v>
      </c>
      <c r="L10" s="24" t="s">
        <v>141</v>
      </c>
      <c r="M10" s="24" t="s">
        <v>141</v>
      </c>
      <c r="N10" s="24" t="s">
        <v>141</v>
      </c>
      <c r="O10" s="24" t="s">
        <v>141</v>
      </c>
      <c r="P10" s="24" t="s">
        <v>141</v>
      </c>
      <c r="Q10" s="24" t="s">
        <v>141</v>
      </c>
      <c r="R10" s="24" t="s">
        <v>141</v>
      </c>
      <c r="S10" s="24" t="s">
        <v>141</v>
      </c>
      <c r="T10" s="24" t="s">
        <v>141</v>
      </c>
      <c r="U10" s="24" t="s">
        <v>141</v>
      </c>
      <c r="V10" s="24" t="s">
        <v>141</v>
      </c>
      <c r="W10" s="24" t="s">
        <v>141</v>
      </c>
      <c r="X10" s="24" t="s">
        <v>141</v>
      </c>
      <c r="Y10" s="24" t="s">
        <v>141</v>
      </c>
      <c r="Z10" s="24" t="s">
        <v>141</v>
      </c>
      <c r="AA10" s="24" t="s">
        <v>141</v>
      </c>
      <c r="CE10" s="30"/>
      <c r="CF10" s="30" t="str">
        <f>IF(5&gt;Var_N,"",'02 · Variables'!$E$11)</f>
        <v/>
      </c>
      <c r="CG10" s="31" t="str">
        <f>IF(5&gt;Var_N,"",IF(COUNTA($C10:$AA10)-1&gt;=Var_N-1,"✓ completa",(Var_N-1)-(COUNTA($C10:$AA10)-1)&amp;" faltan"))</f>
        <v>✓ completa</v>
      </c>
    </row>
    <row r="11" spans="1:85" ht="19" customHeight="1" x14ac:dyDescent="0.2">
      <c r="B11" s="35" t="str">
        <f>IF(6&gt;Var_N,"",'02 · Variables'!$B$12&amp;"   "&amp;'02 · Variables'!$C$12)</f>
        <v xml:space="preserve">   </v>
      </c>
      <c r="C11" s="24" t="s">
        <v>141</v>
      </c>
      <c r="D11" s="24" t="s">
        <v>141</v>
      </c>
      <c r="E11" s="24" t="s">
        <v>141</v>
      </c>
      <c r="F11" s="24" t="s">
        <v>141</v>
      </c>
      <c r="G11" s="24" t="s">
        <v>141</v>
      </c>
      <c r="H11" s="33">
        <v>0</v>
      </c>
      <c r="I11" s="24" t="s">
        <v>141</v>
      </c>
      <c r="J11" s="24" t="s">
        <v>141</v>
      </c>
      <c r="K11" s="24" t="s">
        <v>141</v>
      </c>
      <c r="L11" s="24" t="s">
        <v>141</v>
      </c>
      <c r="M11" s="24" t="s">
        <v>141</v>
      </c>
      <c r="N11" s="24" t="s">
        <v>141</v>
      </c>
      <c r="O11" s="24" t="s">
        <v>141</v>
      </c>
      <c r="P11" s="24" t="s">
        <v>141</v>
      </c>
      <c r="Q11" s="24" t="s">
        <v>141</v>
      </c>
      <c r="R11" s="24" t="s">
        <v>141</v>
      </c>
      <c r="S11" s="24" t="s">
        <v>141</v>
      </c>
      <c r="T11" s="24" t="s">
        <v>141</v>
      </c>
      <c r="U11" s="24" t="s">
        <v>141</v>
      </c>
      <c r="V11" s="24" t="s">
        <v>141</v>
      </c>
      <c r="W11" s="24" t="s">
        <v>141</v>
      </c>
      <c r="X11" s="24" t="s">
        <v>141</v>
      </c>
      <c r="Y11" s="24" t="s">
        <v>141</v>
      </c>
      <c r="Z11" s="24" t="s">
        <v>141</v>
      </c>
      <c r="AA11" s="24" t="s">
        <v>141</v>
      </c>
      <c r="CE11" s="30"/>
      <c r="CF11" s="30" t="str">
        <f>IF(6&gt;Var_N,"",'02 · Variables'!$E$12)</f>
        <v/>
      </c>
      <c r="CG11" s="31" t="str">
        <f>IF(6&gt;Var_N,"",IF(COUNTA($C11:$AA11)-1&gt;=Var_N-1,"✓ completa",(Var_N-1)-(COUNTA($C11:$AA11)-1)&amp;" faltan"))</f>
        <v>✓ completa</v>
      </c>
    </row>
    <row r="12" spans="1:85" ht="19" customHeight="1" x14ac:dyDescent="0.2">
      <c r="B12" s="35" t="str">
        <f>IF(7&gt;Var_N,"",'02 · Variables'!$B$13&amp;"   "&amp;'02 · Variables'!$C$13)</f>
        <v xml:space="preserve">   </v>
      </c>
      <c r="C12" s="24" t="s">
        <v>141</v>
      </c>
      <c r="D12" s="24" t="s">
        <v>141</v>
      </c>
      <c r="E12" s="24" t="s">
        <v>141</v>
      </c>
      <c r="F12" s="24" t="s">
        <v>141</v>
      </c>
      <c r="G12" s="24" t="s">
        <v>141</v>
      </c>
      <c r="H12" s="24" t="s">
        <v>141</v>
      </c>
      <c r="I12" s="33">
        <v>0</v>
      </c>
      <c r="J12" s="24" t="s">
        <v>141</v>
      </c>
      <c r="K12" s="24" t="s">
        <v>141</v>
      </c>
      <c r="L12" s="24" t="s">
        <v>141</v>
      </c>
      <c r="M12" s="24" t="s">
        <v>141</v>
      </c>
      <c r="N12" s="24" t="s">
        <v>141</v>
      </c>
      <c r="O12" s="24" t="s">
        <v>141</v>
      </c>
      <c r="P12" s="24" t="s">
        <v>141</v>
      </c>
      <c r="Q12" s="24" t="s">
        <v>141</v>
      </c>
      <c r="R12" s="24" t="s">
        <v>141</v>
      </c>
      <c r="S12" s="24" t="s">
        <v>141</v>
      </c>
      <c r="T12" s="24" t="s">
        <v>141</v>
      </c>
      <c r="U12" s="24" t="s">
        <v>141</v>
      </c>
      <c r="V12" s="24" t="s">
        <v>141</v>
      </c>
      <c r="W12" s="24" t="s">
        <v>141</v>
      </c>
      <c r="X12" s="24" t="s">
        <v>141</v>
      </c>
      <c r="Y12" s="24" t="s">
        <v>141</v>
      </c>
      <c r="Z12" s="24" t="s">
        <v>141</v>
      </c>
      <c r="AA12" s="24" t="s">
        <v>141</v>
      </c>
      <c r="CE12" s="30"/>
      <c r="CF12" s="30" t="str">
        <f>IF(7&gt;Var_N,"",'02 · Variables'!$E$13)</f>
        <v/>
      </c>
      <c r="CG12" s="31" t="str">
        <f>IF(7&gt;Var_N,"",IF(COUNTA($C12:$AA12)-1&gt;=Var_N-1,"✓ completa",(Var_N-1)-(COUNTA($C12:$AA12)-1)&amp;" faltan"))</f>
        <v>✓ completa</v>
      </c>
    </row>
    <row r="13" spans="1:85" ht="19" customHeight="1" x14ac:dyDescent="0.2">
      <c r="B13" s="35" t="str">
        <f>IF(8&gt;Var_N,"",'02 · Variables'!$B$14&amp;"   "&amp;'02 · Variables'!$C$14)</f>
        <v xml:space="preserve">   </v>
      </c>
      <c r="C13" s="24" t="s">
        <v>141</v>
      </c>
      <c r="D13" s="24" t="s">
        <v>141</v>
      </c>
      <c r="E13" s="24" t="s">
        <v>141</v>
      </c>
      <c r="F13" s="24" t="s">
        <v>141</v>
      </c>
      <c r="G13" s="24" t="s">
        <v>141</v>
      </c>
      <c r="H13" s="24" t="s">
        <v>141</v>
      </c>
      <c r="I13" s="24" t="s">
        <v>141</v>
      </c>
      <c r="J13" s="33">
        <v>0</v>
      </c>
      <c r="K13" s="24" t="s">
        <v>141</v>
      </c>
      <c r="L13" s="24" t="s">
        <v>141</v>
      </c>
      <c r="M13" s="24" t="s">
        <v>141</v>
      </c>
      <c r="N13" s="24" t="s">
        <v>141</v>
      </c>
      <c r="O13" s="24" t="s">
        <v>141</v>
      </c>
      <c r="P13" s="24" t="s">
        <v>141</v>
      </c>
      <c r="Q13" s="24" t="s">
        <v>141</v>
      </c>
      <c r="R13" s="24" t="s">
        <v>141</v>
      </c>
      <c r="S13" s="24" t="s">
        <v>141</v>
      </c>
      <c r="T13" s="24" t="s">
        <v>141</v>
      </c>
      <c r="U13" s="24" t="s">
        <v>141</v>
      </c>
      <c r="V13" s="24" t="s">
        <v>141</v>
      </c>
      <c r="W13" s="24" t="s">
        <v>141</v>
      </c>
      <c r="X13" s="24" t="s">
        <v>141</v>
      </c>
      <c r="Y13" s="24" t="s">
        <v>141</v>
      </c>
      <c r="Z13" s="24" t="s">
        <v>141</v>
      </c>
      <c r="AA13" s="24" t="s">
        <v>141</v>
      </c>
      <c r="CE13" s="30"/>
      <c r="CF13" s="30" t="str">
        <f>IF(8&gt;Var_N,"",'02 · Variables'!$E$14)</f>
        <v/>
      </c>
      <c r="CG13" s="31" t="str">
        <f>IF(8&gt;Var_N,"",IF(COUNTA($C13:$AA13)-1&gt;=Var_N-1,"✓ completa",(Var_N-1)-(COUNTA($C13:$AA13)-1)&amp;" faltan"))</f>
        <v>✓ completa</v>
      </c>
    </row>
    <row r="14" spans="1:85" ht="19" customHeight="1" x14ac:dyDescent="0.2">
      <c r="B14" s="35" t="str">
        <f>IF(9&gt;Var_N,"",'02 · Variables'!$B$15&amp;"   "&amp;'02 · Variables'!$C$15)</f>
        <v xml:space="preserve">   </v>
      </c>
      <c r="C14" s="24" t="s">
        <v>141</v>
      </c>
      <c r="D14" s="24" t="s">
        <v>141</v>
      </c>
      <c r="E14" s="24" t="s">
        <v>141</v>
      </c>
      <c r="F14" s="24" t="s">
        <v>141</v>
      </c>
      <c r="G14" s="24" t="s">
        <v>141</v>
      </c>
      <c r="H14" s="24" t="s">
        <v>141</v>
      </c>
      <c r="I14" s="24" t="s">
        <v>141</v>
      </c>
      <c r="J14" s="24" t="s">
        <v>141</v>
      </c>
      <c r="K14" s="33">
        <v>0</v>
      </c>
      <c r="L14" s="24" t="s">
        <v>141</v>
      </c>
      <c r="M14" s="24" t="s">
        <v>141</v>
      </c>
      <c r="N14" s="24" t="s">
        <v>141</v>
      </c>
      <c r="O14" s="24" t="s">
        <v>141</v>
      </c>
      <c r="P14" s="24" t="s">
        <v>141</v>
      </c>
      <c r="Q14" s="24" t="s">
        <v>141</v>
      </c>
      <c r="R14" s="24" t="s">
        <v>141</v>
      </c>
      <c r="S14" s="24" t="s">
        <v>141</v>
      </c>
      <c r="T14" s="24" t="s">
        <v>141</v>
      </c>
      <c r="U14" s="24" t="s">
        <v>141</v>
      </c>
      <c r="V14" s="24" t="s">
        <v>141</v>
      </c>
      <c r="W14" s="24" t="s">
        <v>141</v>
      </c>
      <c r="X14" s="24" t="s">
        <v>141</v>
      </c>
      <c r="Y14" s="24" t="s">
        <v>141</v>
      </c>
      <c r="Z14" s="24" t="s">
        <v>141</v>
      </c>
      <c r="AA14" s="24" t="s">
        <v>141</v>
      </c>
      <c r="CE14" s="30"/>
      <c r="CF14" s="30" t="str">
        <f>IF(9&gt;Var_N,"",'02 · Variables'!$E$15)</f>
        <v/>
      </c>
      <c r="CG14" s="31" t="str">
        <f>IF(9&gt;Var_N,"",IF(COUNTA($C14:$AA14)-1&gt;=Var_N-1,"✓ completa",(Var_N-1)-(COUNTA($C14:$AA14)-1)&amp;" faltan"))</f>
        <v>✓ completa</v>
      </c>
    </row>
    <row r="15" spans="1:85" ht="19" customHeight="1" x14ac:dyDescent="0.2">
      <c r="B15" s="35" t="str">
        <f>IF(10&gt;Var_N,"",'02 · Variables'!$B$16&amp;"   "&amp;'02 · Variables'!$C$16)</f>
        <v xml:space="preserve">   </v>
      </c>
      <c r="C15" s="24" t="s">
        <v>141</v>
      </c>
      <c r="D15" s="24" t="s">
        <v>141</v>
      </c>
      <c r="E15" s="24" t="s">
        <v>141</v>
      </c>
      <c r="F15" s="24" t="s">
        <v>141</v>
      </c>
      <c r="G15" s="24" t="s">
        <v>141</v>
      </c>
      <c r="H15" s="24" t="s">
        <v>141</v>
      </c>
      <c r="I15" s="24" t="s">
        <v>141</v>
      </c>
      <c r="J15" s="24" t="s">
        <v>141</v>
      </c>
      <c r="K15" s="24" t="s">
        <v>141</v>
      </c>
      <c r="L15" s="33">
        <v>0</v>
      </c>
      <c r="M15" s="24" t="s">
        <v>141</v>
      </c>
      <c r="N15" s="24" t="s">
        <v>141</v>
      </c>
      <c r="O15" s="24" t="s">
        <v>141</v>
      </c>
      <c r="P15" s="24" t="s">
        <v>141</v>
      </c>
      <c r="Q15" s="24" t="s">
        <v>141</v>
      </c>
      <c r="R15" s="24" t="s">
        <v>141</v>
      </c>
      <c r="S15" s="24" t="s">
        <v>141</v>
      </c>
      <c r="T15" s="24" t="s">
        <v>141</v>
      </c>
      <c r="U15" s="24" t="s">
        <v>141</v>
      </c>
      <c r="V15" s="24" t="s">
        <v>141</v>
      </c>
      <c r="W15" s="24" t="s">
        <v>141</v>
      </c>
      <c r="X15" s="24" t="s">
        <v>141</v>
      </c>
      <c r="Y15" s="24" t="s">
        <v>141</v>
      </c>
      <c r="Z15" s="24" t="s">
        <v>141</v>
      </c>
      <c r="AA15" s="24" t="s">
        <v>141</v>
      </c>
      <c r="CE15" s="30"/>
      <c r="CF15" s="30" t="str">
        <f>IF(10&gt;Var_N,"",'02 · Variables'!$E$16)</f>
        <v/>
      </c>
      <c r="CG15" s="31" t="str">
        <f>IF(10&gt;Var_N,"",IF(COUNTA($C15:$AA15)-1&gt;=Var_N-1,"✓ completa",(Var_N-1)-(COUNTA($C15:$AA15)-1)&amp;" faltan"))</f>
        <v>✓ completa</v>
      </c>
    </row>
    <row r="16" spans="1:85" ht="19" customHeight="1" x14ac:dyDescent="0.2">
      <c r="B16" s="35" t="str">
        <f>IF(11&gt;Var_N,"",'02 · Variables'!$B$17&amp;"   "&amp;'02 · Variables'!$C$17)</f>
        <v xml:space="preserve">   </v>
      </c>
      <c r="C16" s="24" t="s">
        <v>141</v>
      </c>
      <c r="D16" s="24" t="s">
        <v>141</v>
      </c>
      <c r="E16" s="24" t="s">
        <v>141</v>
      </c>
      <c r="F16" s="24" t="s">
        <v>141</v>
      </c>
      <c r="G16" s="24" t="s">
        <v>141</v>
      </c>
      <c r="H16" s="24" t="s">
        <v>141</v>
      </c>
      <c r="I16" s="24" t="s">
        <v>141</v>
      </c>
      <c r="J16" s="24" t="s">
        <v>141</v>
      </c>
      <c r="K16" s="24" t="s">
        <v>141</v>
      </c>
      <c r="L16" s="24" t="s">
        <v>141</v>
      </c>
      <c r="M16" s="33">
        <v>0</v>
      </c>
      <c r="N16" s="24" t="s">
        <v>141</v>
      </c>
      <c r="O16" s="24" t="s">
        <v>141</v>
      </c>
      <c r="P16" s="24" t="s">
        <v>141</v>
      </c>
      <c r="Q16" s="24" t="s">
        <v>141</v>
      </c>
      <c r="R16" s="24" t="s">
        <v>141</v>
      </c>
      <c r="S16" s="24" t="s">
        <v>141</v>
      </c>
      <c r="T16" s="24" t="s">
        <v>141</v>
      </c>
      <c r="U16" s="24" t="s">
        <v>141</v>
      </c>
      <c r="V16" s="24" t="s">
        <v>141</v>
      </c>
      <c r="W16" s="24" t="s">
        <v>141</v>
      </c>
      <c r="X16" s="24" t="s">
        <v>141</v>
      </c>
      <c r="Y16" s="24" t="s">
        <v>141</v>
      </c>
      <c r="Z16" s="24" t="s">
        <v>141</v>
      </c>
      <c r="AA16" s="24" t="s">
        <v>141</v>
      </c>
      <c r="CE16" s="30"/>
      <c r="CF16" s="30" t="str">
        <f>IF(11&gt;Var_N,"",'02 · Variables'!$E$17)</f>
        <v/>
      </c>
      <c r="CG16" s="31" t="str">
        <f>IF(11&gt;Var_N,"",IF(COUNTA($C16:$AA16)-1&gt;=Var_N-1,"✓ completa",(Var_N-1)-(COUNTA($C16:$AA16)-1)&amp;" faltan"))</f>
        <v>✓ completa</v>
      </c>
    </row>
    <row r="17" spans="2:85" ht="19" customHeight="1" x14ac:dyDescent="0.2">
      <c r="B17" s="35" t="str">
        <f>IF(12&gt;Var_N,"",'02 · Variables'!$B$18&amp;"   "&amp;'02 · Variables'!$C$18)</f>
        <v xml:space="preserve">   </v>
      </c>
      <c r="C17" s="24" t="s">
        <v>141</v>
      </c>
      <c r="D17" s="24" t="s">
        <v>141</v>
      </c>
      <c r="E17" s="24" t="s">
        <v>141</v>
      </c>
      <c r="F17" s="24" t="s">
        <v>141</v>
      </c>
      <c r="G17" s="24" t="s">
        <v>141</v>
      </c>
      <c r="H17" s="24" t="s">
        <v>141</v>
      </c>
      <c r="I17" s="24" t="s">
        <v>141</v>
      </c>
      <c r="J17" s="24" t="s">
        <v>141</v>
      </c>
      <c r="K17" s="24" t="s">
        <v>141</v>
      </c>
      <c r="L17" s="24" t="s">
        <v>141</v>
      </c>
      <c r="M17" s="24" t="s">
        <v>141</v>
      </c>
      <c r="N17" s="33">
        <v>0</v>
      </c>
      <c r="O17" s="24" t="s">
        <v>141</v>
      </c>
      <c r="P17" s="24" t="s">
        <v>141</v>
      </c>
      <c r="Q17" s="24" t="s">
        <v>141</v>
      </c>
      <c r="R17" s="24" t="s">
        <v>141</v>
      </c>
      <c r="S17" s="24" t="s">
        <v>141</v>
      </c>
      <c r="T17" s="24" t="s">
        <v>141</v>
      </c>
      <c r="U17" s="24" t="s">
        <v>141</v>
      </c>
      <c r="V17" s="24" t="s">
        <v>141</v>
      </c>
      <c r="W17" s="24" t="s">
        <v>141</v>
      </c>
      <c r="X17" s="24" t="s">
        <v>141</v>
      </c>
      <c r="Y17" s="24" t="s">
        <v>141</v>
      </c>
      <c r="Z17" s="24" t="s">
        <v>141</v>
      </c>
      <c r="AA17" s="24" t="s">
        <v>141</v>
      </c>
      <c r="CE17" s="30"/>
      <c r="CF17" s="30" t="str">
        <f>IF(12&gt;Var_N,"",'02 · Variables'!$E$18)</f>
        <v/>
      </c>
      <c r="CG17" s="31" t="str">
        <f>IF(12&gt;Var_N,"",IF(COUNTA($C17:$AA17)-1&gt;=Var_N-1,"✓ completa",(Var_N-1)-(COUNTA($C17:$AA17)-1)&amp;" faltan"))</f>
        <v>✓ completa</v>
      </c>
    </row>
    <row r="18" spans="2:85" ht="19" customHeight="1" x14ac:dyDescent="0.2">
      <c r="B18" s="35" t="str">
        <f>IF(13&gt;Var_N,"",'02 · Variables'!$B$19&amp;"   "&amp;'02 · Variables'!$C$19)</f>
        <v xml:space="preserve">   </v>
      </c>
      <c r="C18" s="24" t="s">
        <v>141</v>
      </c>
      <c r="D18" s="24" t="s">
        <v>141</v>
      </c>
      <c r="E18" s="24" t="s">
        <v>141</v>
      </c>
      <c r="F18" s="24" t="s">
        <v>141</v>
      </c>
      <c r="G18" s="24" t="s">
        <v>141</v>
      </c>
      <c r="H18" s="24" t="s">
        <v>141</v>
      </c>
      <c r="I18" s="24" t="s">
        <v>141</v>
      </c>
      <c r="J18" s="24" t="s">
        <v>141</v>
      </c>
      <c r="K18" s="24" t="s">
        <v>141</v>
      </c>
      <c r="L18" s="24" t="s">
        <v>141</v>
      </c>
      <c r="M18" s="24" t="s">
        <v>141</v>
      </c>
      <c r="N18" s="24" t="s">
        <v>141</v>
      </c>
      <c r="O18" s="33">
        <v>0</v>
      </c>
      <c r="P18" s="24" t="s">
        <v>141</v>
      </c>
      <c r="Q18" s="24" t="s">
        <v>141</v>
      </c>
      <c r="R18" s="24" t="s">
        <v>141</v>
      </c>
      <c r="S18" s="24" t="s">
        <v>141</v>
      </c>
      <c r="T18" s="24" t="s">
        <v>141</v>
      </c>
      <c r="U18" s="24" t="s">
        <v>141</v>
      </c>
      <c r="V18" s="24" t="s">
        <v>141</v>
      </c>
      <c r="W18" s="24" t="s">
        <v>141</v>
      </c>
      <c r="X18" s="24" t="s">
        <v>141</v>
      </c>
      <c r="Y18" s="24" t="s">
        <v>141</v>
      </c>
      <c r="Z18" s="24" t="s">
        <v>141</v>
      </c>
      <c r="AA18" s="24" t="s">
        <v>141</v>
      </c>
      <c r="CE18" s="30"/>
      <c r="CF18" s="30" t="str">
        <f>IF(13&gt;Var_N,"",'02 · Variables'!$E$19)</f>
        <v/>
      </c>
      <c r="CG18" s="31" t="str">
        <f>IF(13&gt;Var_N,"",IF(COUNTA($C18:$AA18)-1&gt;=Var_N-1,"✓ completa",(Var_N-1)-(COUNTA($C18:$AA18)-1)&amp;" faltan"))</f>
        <v>✓ completa</v>
      </c>
    </row>
    <row r="19" spans="2:85" ht="19" customHeight="1" x14ac:dyDescent="0.2">
      <c r="B19" s="35" t="str">
        <f>IF(14&gt;Var_N,"",'02 · Variables'!$B$20&amp;"   "&amp;'02 · Variables'!$C$20)</f>
        <v xml:space="preserve">   </v>
      </c>
      <c r="C19" s="24" t="s">
        <v>141</v>
      </c>
      <c r="D19" s="24" t="s">
        <v>141</v>
      </c>
      <c r="E19" s="24" t="s">
        <v>141</v>
      </c>
      <c r="F19" s="24" t="s">
        <v>141</v>
      </c>
      <c r="G19" s="24" t="s">
        <v>141</v>
      </c>
      <c r="H19" s="24" t="s">
        <v>141</v>
      </c>
      <c r="I19" s="24" t="s">
        <v>141</v>
      </c>
      <c r="J19" s="24" t="s">
        <v>141</v>
      </c>
      <c r="K19" s="24" t="s">
        <v>141</v>
      </c>
      <c r="L19" s="24" t="s">
        <v>141</v>
      </c>
      <c r="M19" s="24" t="s">
        <v>141</v>
      </c>
      <c r="N19" s="24" t="s">
        <v>141</v>
      </c>
      <c r="O19" s="24" t="s">
        <v>141</v>
      </c>
      <c r="P19" s="33">
        <v>0</v>
      </c>
      <c r="Q19" s="24" t="s">
        <v>141</v>
      </c>
      <c r="R19" s="24" t="s">
        <v>141</v>
      </c>
      <c r="S19" s="24" t="s">
        <v>141</v>
      </c>
      <c r="T19" s="24" t="s">
        <v>141</v>
      </c>
      <c r="U19" s="24" t="s">
        <v>141</v>
      </c>
      <c r="V19" s="24" t="s">
        <v>141</v>
      </c>
      <c r="W19" s="24" t="s">
        <v>141</v>
      </c>
      <c r="X19" s="24" t="s">
        <v>141</v>
      </c>
      <c r="Y19" s="24" t="s">
        <v>141</v>
      </c>
      <c r="Z19" s="24" t="s">
        <v>141</v>
      </c>
      <c r="AA19" s="24" t="s">
        <v>141</v>
      </c>
      <c r="CE19" s="30"/>
      <c r="CF19" s="30" t="str">
        <f>IF(14&gt;Var_N,"",'02 · Variables'!$E$20)</f>
        <v/>
      </c>
      <c r="CG19" s="31" t="str">
        <f>IF(14&gt;Var_N,"",IF(COUNTA($C19:$AA19)-1&gt;=Var_N-1,"✓ completa",(Var_N-1)-(COUNTA($C19:$AA19)-1)&amp;" faltan"))</f>
        <v>✓ completa</v>
      </c>
    </row>
    <row r="20" spans="2:85" ht="19" customHeight="1" x14ac:dyDescent="0.2">
      <c r="B20" s="35" t="str">
        <f>IF(15&gt;Var_N,"",'02 · Variables'!$B$21&amp;"   "&amp;'02 · Variables'!$C$21)</f>
        <v xml:space="preserve">   </v>
      </c>
      <c r="C20" s="24" t="s">
        <v>141</v>
      </c>
      <c r="D20" s="24" t="s">
        <v>141</v>
      </c>
      <c r="E20" s="24" t="s">
        <v>141</v>
      </c>
      <c r="F20" s="24" t="s">
        <v>141</v>
      </c>
      <c r="G20" s="24" t="s">
        <v>141</v>
      </c>
      <c r="H20" s="24" t="s">
        <v>141</v>
      </c>
      <c r="I20" s="24" t="s">
        <v>141</v>
      </c>
      <c r="J20" s="24" t="s">
        <v>141</v>
      </c>
      <c r="K20" s="24" t="s">
        <v>141</v>
      </c>
      <c r="L20" s="24" t="s">
        <v>141</v>
      </c>
      <c r="M20" s="24" t="s">
        <v>141</v>
      </c>
      <c r="N20" s="24" t="s">
        <v>141</v>
      </c>
      <c r="O20" s="24" t="s">
        <v>141</v>
      </c>
      <c r="P20" s="24" t="s">
        <v>141</v>
      </c>
      <c r="Q20" s="33">
        <v>0</v>
      </c>
      <c r="R20" s="24" t="s">
        <v>141</v>
      </c>
      <c r="S20" s="24" t="s">
        <v>141</v>
      </c>
      <c r="T20" s="24" t="s">
        <v>141</v>
      </c>
      <c r="U20" s="24" t="s">
        <v>141</v>
      </c>
      <c r="V20" s="24" t="s">
        <v>141</v>
      </c>
      <c r="W20" s="24" t="s">
        <v>141</v>
      </c>
      <c r="X20" s="24" t="s">
        <v>141</v>
      </c>
      <c r="Y20" s="24" t="s">
        <v>141</v>
      </c>
      <c r="Z20" s="24" t="s">
        <v>141</v>
      </c>
      <c r="AA20" s="24" t="s">
        <v>141</v>
      </c>
      <c r="CE20" s="30"/>
      <c r="CF20" s="30" t="str">
        <f>IF(15&gt;Var_N,"",'02 · Variables'!$E$21)</f>
        <v/>
      </c>
      <c r="CG20" s="31" t="str">
        <f>IF(15&gt;Var_N,"",IF(COUNTA($C20:$AA20)-1&gt;=Var_N-1,"✓ completa",(Var_N-1)-(COUNTA($C20:$AA20)-1)&amp;" faltan"))</f>
        <v>✓ completa</v>
      </c>
    </row>
    <row r="21" spans="2:85" ht="19" customHeight="1" x14ac:dyDescent="0.2">
      <c r="B21" s="35" t="str">
        <f>IF(16&gt;Var_N,"",'02 · Variables'!$B$22&amp;"   "&amp;'02 · Variables'!$C$22)</f>
        <v xml:space="preserve">   </v>
      </c>
      <c r="C21" s="24" t="s">
        <v>141</v>
      </c>
      <c r="D21" s="24" t="s">
        <v>141</v>
      </c>
      <c r="E21" s="24" t="s">
        <v>141</v>
      </c>
      <c r="F21" s="24" t="s">
        <v>141</v>
      </c>
      <c r="G21" s="24" t="s">
        <v>141</v>
      </c>
      <c r="H21" s="24" t="s">
        <v>141</v>
      </c>
      <c r="I21" s="24" t="s">
        <v>141</v>
      </c>
      <c r="J21" s="24" t="s">
        <v>141</v>
      </c>
      <c r="K21" s="24" t="s">
        <v>141</v>
      </c>
      <c r="L21" s="24" t="s">
        <v>141</v>
      </c>
      <c r="M21" s="24" t="s">
        <v>141</v>
      </c>
      <c r="N21" s="24" t="s">
        <v>141</v>
      </c>
      <c r="O21" s="24" t="s">
        <v>141</v>
      </c>
      <c r="P21" s="24" t="s">
        <v>141</v>
      </c>
      <c r="Q21" s="24" t="s">
        <v>141</v>
      </c>
      <c r="R21" s="33">
        <v>0</v>
      </c>
      <c r="S21" s="24" t="s">
        <v>141</v>
      </c>
      <c r="T21" s="24" t="s">
        <v>141</v>
      </c>
      <c r="U21" s="24" t="s">
        <v>141</v>
      </c>
      <c r="V21" s="24" t="s">
        <v>141</v>
      </c>
      <c r="W21" s="24" t="s">
        <v>141</v>
      </c>
      <c r="X21" s="24" t="s">
        <v>141</v>
      </c>
      <c r="Y21" s="24" t="s">
        <v>141</v>
      </c>
      <c r="Z21" s="24" t="s">
        <v>141</v>
      </c>
      <c r="AA21" s="24" t="s">
        <v>141</v>
      </c>
      <c r="CE21" s="30"/>
      <c r="CF21" s="30" t="str">
        <f>IF(16&gt;Var_N,"",'02 · Variables'!$E$22)</f>
        <v/>
      </c>
      <c r="CG21" s="31" t="str">
        <f>IF(16&gt;Var_N,"",IF(COUNTA($C21:$AA21)-1&gt;=Var_N-1,"✓ completa",(Var_N-1)-(COUNTA($C21:$AA21)-1)&amp;" faltan"))</f>
        <v>✓ completa</v>
      </c>
    </row>
    <row r="22" spans="2:85" ht="19" customHeight="1" x14ac:dyDescent="0.2">
      <c r="B22" s="35" t="str">
        <f>IF(17&gt;Var_N,"",'02 · Variables'!$B$23&amp;"   "&amp;'02 · Variables'!$C$23)</f>
        <v xml:space="preserve">   </v>
      </c>
      <c r="C22" s="24" t="s">
        <v>141</v>
      </c>
      <c r="D22" s="24" t="s">
        <v>141</v>
      </c>
      <c r="E22" s="24" t="s">
        <v>141</v>
      </c>
      <c r="F22" s="24" t="s">
        <v>141</v>
      </c>
      <c r="G22" s="24" t="s">
        <v>141</v>
      </c>
      <c r="H22" s="24" t="s">
        <v>141</v>
      </c>
      <c r="I22" s="24" t="s">
        <v>141</v>
      </c>
      <c r="J22" s="24" t="s">
        <v>141</v>
      </c>
      <c r="K22" s="24" t="s">
        <v>141</v>
      </c>
      <c r="L22" s="24" t="s">
        <v>141</v>
      </c>
      <c r="M22" s="24" t="s">
        <v>141</v>
      </c>
      <c r="N22" s="24" t="s">
        <v>141</v>
      </c>
      <c r="O22" s="24" t="s">
        <v>141</v>
      </c>
      <c r="P22" s="24" t="s">
        <v>141</v>
      </c>
      <c r="Q22" s="24" t="s">
        <v>141</v>
      </c>
      <c r="R22" s="24" t="s">
        <v>141</v>
      </c>
      <c r="S22" s="33">
        <v>0</v>
      </c>
      <c r="T22" s="24" t="s">
        <v>141</v>
      </c>
      <c r="U22" s="24" t="s">
        <v>141</v>
      </c>
      <c r="V22" s="24" t="s">
        <v>141</v>
      </c>
      <c r="W22" s="24" t="s">
        <v>141</v>
      </c>
      <c r="X22" s="24" t="s">
        <v>141</v>
      </c>
      <c r="Y22" s="24" t="s">
        <v>141</v>
      </c>
      <c r="Z22" s="24" t="s">
        <v>141</v>
      </c>
      <c r="AA22" s="24" t="s">
        <v>141</v>
      </c>
      <c r="CE22" s="30"/>
      <c r="CF22" s="30" t="str">
        <f>IF(17&gt;Var_N,"",'02 · Variables'!$E$23)</f>
        <v/>
      </c>
      <c r="CG22" s="31" t="str">
        <f>IF(17&gt;Var_N,"",IF(COUNTA($C22:$AA22)-1&gt;=Var_N-1,"✓ completa",(Var_N-1)-(COUNTA($C22:$AA22)-1)&amp;" faltan"))</f>
        <v>✓ completa</v>
      </c>
    </row>
    <row r="23" spans="2:85" ht="19" customHeight="1" x14ac:dyDescent="0.2">
      <c r="B23" s="35" t="str">
        <f>IF(18&gt;Var_N,"",'02 · Variables'!$B$24&amp;"   "&amp;'02 · Variables'!$C$24)</f>
        <v xml:space="preserve">   </v>
      </c>
      <c r="C23" s="24" t="s">
        <v>141</v>
      </c>
      <c r="D23" s="24" t="s">
        <v>141</v>
      </c>
      <c r="E23" s="24" t="s">
        <v>141</v>
      </c>
      <c r="F23" s="24" t="s">
        <v>141</v>
      </c>
      <c r="G23" s="24" t="s">
        <v>141</v>
      </c>
      <c r="H23" s="24" t="s">
        <v>141</v>
      </c>
      <c r="I23" s="24" t="s">
        <v>141</v>
      </c>
      <c r="J23" s="24" t="s">
        <v>141</v>
      </c>
      <c r="K23" s="24" t="s">
        <v>141</v>
      </c>
      <c r="L23" s="24" t="s">
        <v>141</v>
      </c>
      <c r="M23" s="24" t="s">
        <v>141</v>
      </c>
      <c r="N23" s="24" t="s">
        <v>141</v>
      </c>
      <c r="O23" s="24" t="s">
        <v>141</v>
      </c>
      <c r="P23" s="24" t="s">
        <v>141</v>
      </c>
      <c r="Q23" s="24" t="s">
        <v>141</v>
      </c>
      <c r="R23" s="24" t="s">
        <v>141</v>
      </c>
      <c r="S23" s="24" t="s">
        <v>141</v>
      </c>
      <c r="T23" s="33">
        <v>0</v>
      </c>
      <c r="U23" s="24" t="s">
        <v>141</v>
      </c>
      <c r="V23" s="24" t="s">
        <v>141</v>
      </c>
      <c r="W23" s="24" t="s">
        <v>141</v>
      </c>
      <c r="X23" s="24" t="s">
        <v>141</v>
      </c>
      <c r="Y23" s="24" t="s">
        <v>141</v>
      </c>
      <c r="Z23" s="24" t="s">
        <v>141</v>
      </c>
      <c r="AA23" s="24" t="s">
        <v>141</v>
      </c>
      <c r="CE23" s="30"/>
      <c r="CF23" s="30" t="str">
        <f>IF(18&gt;Var_N,"",'02 · Variables'!$E$24)</f>
        <v/>
      </c>
      <c r="CG23" s="31" t="str">
        <f>IF(18&gt;Var_N,"",IF(COUNTA($C23:$AA23)-1&gt;=Var_N-1,"✓ completa",(Var_N-1)-(COUNTA($C23:$AA23)-1)&amp;" faltan"))</f>
        <v>✓ completa</v>
      </c>
    </row>
    <row r="24" spans="2:85" ht="19" customHeight="1" x14ac:dyDescent="0.2">
      <c r="B24" s="35" t="str">
        <f>IF(19&gt;Var_N,"",'02 · Variables'!$B$25&amp;"   "&amp;'02 · Variables'!$C$25)</f>
        <v xml:space="preserve">   </v>
      </c>
      <c r="C24" s="24" t="s">
        <v>141</v>
      </c>
      <c r="D24" s="24" t="s">
        <v>141</v>
      </c>
      <c r="E24" s="24" t="s">
        <v>141</v>
      </c>
      <c r="F24" s="24" t="s">
        <v>141</v>
      </c>
      <c r="G24" s="24" t="s">
        <v>141</v>
      </c>
      <c r="H24" s="24" t="s">
        <v>141</v>
      </c>
      <c r="I24" s="24" t="s">
        <v>141</v>
      </c>
      <c r="J24" s="24" t="s">
        <v>141</v>
      </c>
      <c r="K24" s="24" t="s">
        <v>141</v>
      </c>
      <c r="L24" s="24" t="s">
        <v>141</v>
      </c>
      <c r="M24" s="24" t="s">
        <v>141</v>
      </c>
      <c r="N24" s="24" t="s">
        <v>141</v>
      </c>
      <c r="O24" s="24" t="s">
        <v>141</v>
      </c>
      <c r="P24" s="24" t="s">
        <v>141</v>
      </c>
      <c r="Q24" s="24" t="s">
        <v>141</v>
      </c>
      <c r="R24" s="24" t="s">
        <v>141</v>
      </c>
      <c r="S24" s="24" t="s">
        <v>141</v>
      </c>
      <c r="T24" s="24" t="s">
        <v>141</v>
      </c>
      <c r="U24" s="33">
        <v>0</v>
      </c>
      <c r="V24" s="24" t="s">
        <v>141</v>
      </c>
      <c r="W24" s="24" t="s">
        <v>141</v>
      </c>
      <c r="X24" s="24" t="s">
        <v>141</v>
      </c>
      <c r="Y24" s="24" t="s">
        <v>141</v>
      </c>
      <c r="Z24" s="24" t="s">
        <v>141</v>
      </c>
      <c r="AA24" s="24" t="s">
        <v>141</v>
      </c>
      <c r="CE24" s="30"/>
      <c r="CF24" s="30" t="str">
        <f>IF(19&gt;Var_N,"",'02 · Variables'!$E$25)</f>
        <v/>
      </c>
      <c r="CG24" s="31" t="str">
        <f>IF(19&gt;Var_N,"",IF(COUNTA($C24:$AA24)-1&gt;=Var_N-1,"✓ completa",(Var_N-1)-(COUNTA($C24:$AA24)-1)&amp;" faltan"))</f>
        <v>✓ completa</v>
      </c>
    </row>
    <row r="25" spans="2:85" ht="19" customHeight="1" x14ac:dyDescent="0.2">
      <c r="B25" s="35" t="str">
        <f>IF(20&gt;Var_N,"",'02 · Variables'!$B$26&amp;"   "&amp;'02 · Variables'!$C$26)</f>
        <v xml:space="preserve">   </v>
      </c>
      <c r="C25" s="24" t="s">
        <v>141</v>
      </c>
      <c r="D25" s="24" t="s">
        <v>141</v>
      </c>
      <c r="E25" s="24" t="s">
        <v>141</v>
      </c>
      <c r="F25" s="24" t="s">
        <v>141</v>
      </c>
      <c r="G25" s="24" t="s">
        <v>141</v>
      </c>
      <c r="H25" s="24" t="s">
        <v>141</v>
      </c>
      <c r="I25" s="24" t="s">
        <v>141</v>
      </c>
      <c r="J25" s="24" t="s">
        <v>141</v>
      </c>
      <c r="K25" s="24" t="s">
        <v>141</v>
      </c>
      <c r="L25" s="24" t="s">
        <v>141</v>
      </c>
      <c r="M25" s="24" t="s">
        <v>141</v>
      </c>
      <c r="N25" s="24" t="s">
        <v>141</v>
      </c>
      <c r="O25" s="24" t="s">
        <v>141</v>
      </c>
      <c r="P25" s="24" t="s">
        <v>141</v>
      </c>
      <c r="Q25" s="24" t="s">
        <v>141</v>
      </c>
      <c r="R25" s="24" t="s">
        <v>141</v>
      </c>
      <c r="S25" s="24" t="s">
        <v>141</v>
      </c>
      <c r="T25" s="24" t="s">
        <v>141</v>
      </c>
      <c r="U25" s="24" t="s">
        <v>141</v>
      </c>
      <c r="V25" s="33">
        <v>0</v>
      </c>
      <c r="W25" s="24" t="s">
        <v>141</v>
      </c>
      <c r="X25" s="24" t="s">
        <v>141</v>
      </c>
      <c r="Y25" s="24" t="s">
        <v>141</v>
      </c>
      <c r="Z25" s="24" t="s">
        <v>141</v>
      </c>
      <c r="AA25" s="24" t="s">
        <v>141</v>
      </c>
      <c r="CE25" s="30"/>
      <c r="CF25" s="30" t="str">
        <f>IF(20&gt;Var_N,"",'02 · Variables'!$E$26)</f>
        <v/>
      </c>
      <c r="CG25" s="31" t="str">
        <f>IF(20&gt;Var_N,"",IF(COUNTA($C25:$AA25)-1&gt;=Var_N-1,"✓ completa",(Var_N-1)-(COUNTA($C25:$AA25)-1)&amp;" faltan"))</f>
        <v>✓ completa</v>
      </c>
    </row>
    <row r="26" spans="2:85" ht="19" customHeight="1" x14ac:dyDescent="0.2">
      <c r="B26" s="35" t="str">
        <f>IF(21&gt;Var_N,"",'02 · Variables'!$B$27&amp;"   "&amp;'02 · Variables'!$C$27)</f>
        <v xml:space="preserve">   </v>
      </c>
      <c r="C26" s="24" t="s">
        <v>141</v>
      </c>
      <c r="D26" s="24" t="s">
        <v>141</v>
      </c>
      <c r="E26" s="24" t="s">
        <v>141</v>
      </c>
      <c r="F26" s="24" t="s">
        <v>141</v>
      </c>
      <c r="G26" s="24" t="s">
        <v>141</v>
      </c>
      <c r="H26" s="24" t="s">
        <v>141</v>
      </c>
      <c r="I26" s="24" t="s">
        <v>141</v>
      </c>
      <c r="J26" s="24" t="s">
        <v>141</v>
      </c>
      <c r="K26" s="24" t="s">
        <v>141</v>
      </c>
      <c r="L26" s="24" t="s">
        <v>141</v>
      </c>
      <c r="M26" s="24" t="s">
        <v>141</v>
      </c>
      <c r="N26" s="24" t="s">
        <v>141</v>
      </c>
      <c r="O26" s="24" t="s">
        <v>141</v>
      </c>
      <c r="P26" s="24" t="s">
        <v>141</v>
      </c>
      <c r="Q26" s="24" t="s">
        <v>141</v>
      </c>
      <c r="R26" s="24" t="s">
        <v>141</v>
      </c>
      <c r="S26" s="24" t="s">
        <v>141</v>
      </c>
      <c r="T26" s="24" t="s">
        <v>141</v>
      </c>
      <c r="U26" s="24" t="s">
        <v>141</v>
      </c>
      <c r="V26" s="24" t="s">
        <v>141</v>
      </c>
      <c r="W26" s="33">
        <v>0</v>
      </c>
      <c r="X26" s="24" t="s">
        <v>141</v>
      </c>
      <c r="Y26" s="24" t="s">
        <v>141</v>
      </c>
      <c r="Z26" s="24" t="s">
        <v>141</v>
      </c>
      <c r="AA26" s="24" t="s">
        <v>141</v>
      </c>
      <c r="CE26" s="30"/>
      <c r="CF26" s="30" t="str">
        <f>IF(21&gt;Var_N,"",'02 · Variables'!$E$27)</f>
        <v/>
      </c>
      <c r="CG26" s="31" t="str">
        <f>IF(21&gt;Var_N,"",IF(COUNTA($C26:$AA26)-1&gt;=Var_N-1,"✓ completa",(Var_N-1)-(COUNTA($C26:$AA26)-1)&amp;" faltan"))</f>
        <v>✓ completa</v>
      </c>
    </row>
    <row r="27" spans="2:85" ht="19" customHeight="1" x14ac:dyDescent="0.2">
      <c r="B27" s="35" t="str">
        <f>IF(22&gt;Var_N,"",'02 · Variables'!$B$28&amp;"   "&amp;'02 · Variables'!$C$28)</f>
        <v xml:space="preserve">   </v>
      </c>
      <c r="C27" s="24" t="s">
        <v>141</v>
      </c>
      <c r="D27" s="24" t="s">
        <v>141</v>
      </c>
      <c r="E27" s="24" t="s">
        <v>141</v>
      </c>
      <c r="F27" s="24" t="s">
        <v>141</v>
      </c>
      <c r="G27" s="24" t="s">
        <v>141</v>
      </c>
      <c r="H27" s="24" t="s">
        <v>141</v>
      </c>
      <c r="I27" s="24" t="s">
        <v>141</v>
      </c>
      <c r="J27" s="24" t="s">
        <v>141</v>
      </c>
      <c r="K27" s="24" t="s">
        <v>141</v>
      </c>
      <c r="L27" s="24" t="s">
        <v>141</v>
      </c>
      <c r="M27" s="24" t="s">
        <v>141</v>
      </c>
      <c r="N27" s="24" t="s">
        <v>141</v>
      </c>
      <c r="O27" s="24" t="s">
        <v>141</v>
      </c>
      <c r="P27" s="24" t="s">
        <v>141</v>
      </c>
      <c r="Q27" s="24" t="s">
        <v>141</v>
      </c>
      <c r="R27" s="24" t="s">
        <v>141</v>
      </c>
      <c r="S27" s="24" t="s">
        <v>141</v>
      </c>
      <c r="T27" s="24" t="s">
        <v>141</v>
      </c>
      <c r="U27" s="24" t="s">
        <v>141</v>
      </c>
      <c r="V27" s="24" t="s">
        <v>141</v>
      </c>
      <c r="W27" s="24" t="s">
        <v>141</v>
      </c>
      <c r="X27" s="33">
        <v>0</v>
      </c>
      <c r="Y27" s="24" t="s">
        <v>141</v>
      </c>
      <c r="Z27" s="24" t="s">
        <v>141</v>
      </c>
      <c r="AA27" s="24" t="s">
        <v>141</v>
      </c>
      <c r="CE27" s="30"/>
      <c r="CF27" s="30" t="str">
        <f>IF(22&gt;Var_N,"",'02 · Variables'!$E$28)</f>
        <v/>
      </c>
      <c r="CG27" s="31" t="str">
        <f>IF(22&gt;Var_N,"",IF(COUNTA($C27:$AA27)-1&gt;=Var_N-1,"✓ completa",(Var_N-1)-(COUNTA($C27:$AA27)-1)&amp;" faltan"))</f>
        <v>✓ completa</v>
      </c>
    </row>
    <row r="28" spans="2:85" ht="19" customHeight="1" x14ac:dyDescent="0.2">
      <c r="B28" s="35" t="str">
        <f>IF(23&gt;Var_N,"",'02 · Variables'!$B$29&amp;"   "&amp;'02 · Variables'!$C$29)</f>
        <v xml:space="preserve">   </v>
      </c>
      <c r="C28" s="24" t="s">
        <v>141</v>
      </c>
      <c r="D28" s="24" t="s">
        <v>141</v>
      </c>
      <c r="E28" s="24" t="s">
        <v>141</v>
      </c>
      <c r="F28" s="24" t="s">
        <v>141</v>
      </c>
      <c r="G28" s="24" t="s">
        <v>141</v>
      </c>
      <c r="H28" s="24" t="s">
        <v>141</v>
      </c>
      <c r="I28" s="24" t="s">
        <v>141</v>
      </c>
      <c r="J28" s="24" t="s">
        <v>141</v>
      </c>
      <c r="K28" s="24" t="s">
        <v>141</v>
      </c>
      <c r="L28" s="24" t="s">
        <v>141</v>
      </c>
      <c r="M28" s="24" t="s">
        <v>141</v>
      </c>
      <c r="N28" s="24" t="s">
        <v>141</v>
      </c>
      <c r="O28" s="24" t="s">
        <v>141</v>
      </c>
      <c r="P28" s="24" t="s">
        <v>141</v>
      </c>
      <c r="Q28" s="24" t="s">
        <v>141</v>
      </c>
      <c r="R28" s="24" t="s">
        <v>141</v>
      </c>
      <c r="S28" s="24" t="s">
        <v>141</v>
      </c>
      <c r="T28" s="24" t="s">
        <v>141</v>
      </c>
      <c r="U28" s="24" t="s">
        <v>141</v>
      </c>
      <c r="V28" s="24" t="s">
        <v>141</v>
      </c>
      <c r="W28" s="24" t="s">
        <v>141</v>
      </c>
      <c r="X28" s="24" t="s">
        <v>141</v>
      </c>
      <c r="Y28" s="33">
        <v>0</v>
      </c>
      <c r="Z28" s="24" t="s">
        <v>141</v>
      </c>
      <c r="AA28" s="24" t="s">
        <v>141</v>
      </c>
      <c r="CE28" s="30"/>
      <c r="CF28" s="30" t="str">
        <f>IF(23&gt;Var_N,"",'02 · Variables'!$E$29)</f>
        <v/>
      </c>
      <c r="CG28" s="31" t="str">
        <f>IF(23&gt;Var_N,"",IF(COUNTA($C28:$AA28)-1&gt;=Var_N-1,"✓ completa",(Var_N-1)-(COUNTA($C28:$AA28)-1)&amp;" faltan"))</f>
        <v>✓ completa</v>
      </c>
    </row>
    <row r="29" spans="2:85" ht="19" customHeight="1" x14ac:dyDescent="0.2">
      <c r="B29" s="35" t="str">
        <f>IF(24&gt;Var_N,"",'02 · Variables'!$B$30&amp;"   "&amp;'02 · Variables'!$C$30)</f>
        <v xml:space="preserve">   </v>
      </c>
      <c r="C29" s="24" t="s">
        <v>141</v>
      </c>
      <c r="D29" s="24" t="s">
        <v>141</v>
      </c>
      <c r="E29" s="24" t="s">
        <v>141</v>
      </c>
      <c r="F29" s="24" t="s">
        <v>141</v>
      </c>
      <c r="G29" s="24" t="s">
        <v>141</v>
      </c>
      <c r="H29" s="24" t="s">
        <v>141</v>
      </c>
      <c r="I29" s="24" t="s">
        <v>141</v>
      </c>
      <c r="J29" s="24" t="s">
        <v>141</v>
      </c>
      <c r="K29" s="24" t="s">
        <v>141</v>
      </c>
      <c r="L29" s="24" t="s">
        <v>141</v>
      </c>
      <c r="M29" s="24" t="s">
        <v>141</v>
      </c>
      <c r="N29" s="24" t="s">
        <v>141</v>
      </c>
      <c r="O29" s="24" t="s">
        <v>141</v>
      </c>
      <c r="P29" s="24" t="s">
        <v>141</v>
      </c>
      <c r="Q29" s="24" t="s">
        <v>141</v>
      </c>
      <c r="R29" s="24" t="s">
        <v>141</v>
      </c>
      <c r="S29" s="24" t="s">
        <v>141</v>
      </c>
      <c r="T29" s="24" t="s">
        <v>141</v>
      </c>
      <c r="U29" s="24" t="s">
        <v>141</v>
      </c>
      <c r="V29" s="24" t="s">
        <v>141</v>
      </c>
      <c r="W29" s="24" t="s">
        <v>141</v>
      </c>
      <c r="X29" s="24" t="s">
        <v>141</v>
      </c>
      <c r="Y29" s="24" t="s">
        <v>141</v>
      </c>
      <c r="Z29" s="33">
        <v>0</v>
      </c>
      <c r="AA29" s="24" t="s">
        <v>141</v>
      </c>
      <c r="CE29" s="30"/>
      <c r="CF29" s="30" t="str">
        <f>IF(24&gt;Var_N,"",'02 · Variables'!$E$30)</f>
        <v/>
      </c>
      <c r="CG29" s="31" t="str">
        <f>IF(24&gt;Var_N,"",IF(COUNTA($C29:$AA29)-1&gt;=Var_N-1,"✓ completa",(Var_N-1)-(COUNTA($C29:$AA29)-1)&amp;" faltan"))</f>
        <v>✓ completa</v>
      </c>
    </row>
    <row r="30" spans="2:85" ht="19" customHeight="1" x14ac:dyDescent="0.2">
      <c r="B30" s="35" t="str">
        <f>IF(25&gt;Var_N,"",'02 · Variables'!$B$31&amp;"   "&amp;'02 · Variables'!$C$31)</f>
        <v xml:space="preserve">   </v>
      </c>
      <c r="C30" s="24" t="s">
        <v>141</v>
      </c>
      <c r="D30" s="24" t="s">
        <v>141</v>
      </c>
      <c r="E30" s="24" t="s">
        <v>141</v>
      </c>
      <c r="F30" s="24" t="s">
        <v>141</v>
      </c>
      <c r="G30" s="24" t="s">
        <v>141</v>
      </c>
      <c r="H30" s="24" t="s">
        <v>141</v>
      </c>
      <c r="I30" s="24" t="s">
        <v>141</v>
      </c>
      <c r="J30" s="24" t="s">
        <v>141</v>
      </c>
      <c r="K30" s="24" t="s">
        <v>141</v>
      </c>
      <c r="L30" s="24" t="s">
        <v>141</v>
      </c>
      <c r="M30" s="24" t="s">
        <v>141</v>
      </c>
      <c r="N30" s="24" t="s">
        <v>141</v>
      </c>
      <c r="O30" s="24" t="s">
        <v>141</v>
      </c>
      <c r="P30" s="24" t="s">
        <v>141</v>
      </c>
      <c r="Q30" s="24" t="s">
        <v>141</v>
      </c>
      <c r="R30" s="24" t="s">
        <v>141</v>
      </c>
      <c r="S30" s="24" t="s">
        <v>141</v>
      </c>
      <c r="T30" s="24" t="s">
        <v>141</v>
      </c>
      <c r="U30" s="24" t="s">
        <v>141</v>
      </c>
      <c r="V30" s="24" t="s">
        <v>141</v>
      </c>
      <c r="W30" s="24" t="s">
        <v>141</v>
      </c>
      <c r="X30" s="24" t="s">
        <v>141</v>
      </c>
      <c r="Y30" s="24" t="s">
        <v>141</v>
      </c>
      <c r="Z30" s="24" t="s">
        <v>141</v>
      </c>
      <c r="AA30" s="33">
        <v>0</v>
      </c>
      <c r="CE30" s="30"/>
      <c r="CF30" s="30" t="str">
        <f>IF(25&gt;Var_N,"",'02 · Variables'!$E$31)</f>
        <v/>
      </c>
      <c r="CG30" s="31" t="str">
        <f>IF(25&gt;Var_N,"",IF(COUNTA($C30:$AA30)-1&gt;=Var_N-1,"✓ completa",(Var_N-1)-(COUNTA($C30:$AA30)-1)&amp;" faltan"))</f>
        <v>✓ completa</v>
      </c>
    </row>
    <row r="31" spans="2:85" hidden="1" x14ac:dyDescent="0.2"/>
    <row r="32" spans="2:85"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spans="2:22" hidden="1" x14ac:dyDescent="0.2"/>
    <row r="82" spans="2:22" hidden="1" x14ac:dyDescent="0.2"/>
    <row r="83" spans="2:22" hidden="1" x14ac:dyDescent="0.2"/>
    <row r="84" spans="2:22" hidden="1" x14ac:dyDescent="0.2"/>
    <row r="85" spans="2:22" hidden="1" x14ac:dyDescent="0.2"/>
    <row r="86" spans="2:22" hidden="1" x14ac:dyDescent="0.2"/>
    <row r="87" spans="2:22" ht="22" customHeight="1" x14ac:dyDescent="0.2">
      <c r="B87" s="77" t="s">
        <v>222</v>
      </c>
      <c r="C87" s="75"/>
      <c r="D87" s="75"/>
      <c r="E87" s="75"/>
      <c r="F87" s="75"/>
      <c r="G87" s="75"/>
      <c r="H87" s="75"/>
      <c r="I87" s="75"/>
      <c r="J87" s="75"/>
      <c r="K87" s="75"/>
      <c r="L87" s="75"/>
    </row>
    <row r="88" spans="2:22" ht="22" customHeight="1" x14ac:dyDescent="0.2">
      <c r="B88" s="44" t="str">
        <f>'03 · Criterio'!$C$28</f>
        <v>Qué entendemos por influencia directa</v>
      </c>
      <c r="C88" s="99" t="str">
        <f>'03 · Criterio'!$C$29</f>
        <v/>
      </c>
      <c r="D88" s="99"/>
      <c r="E88" s="99"/>
      <c r="F88" s="99"/>
      <c r="G88" s="99"/>
      <c r="H88" s="99"/>
      <c r="I88" s="99"/>
      <c r="J88" s="99"/>
      <c r="K88" s="99"/>
      <c r="L88" s="99"/>
      <c r="M88" s="99"/>
      <c r="N88" s="99"/>
      <c r="O88" s="99"/>
      <c r="P88" s="99"/>
      <c r="Q88" s="99"/>
      <c r="R88" s="99"/>
      <c r="S88" s="99"/>
      <c r="T88" s="99"/>
      <c r="U88" s="99"/>
      <c r="V88" s="99"/>
    </row>
    <row r="89" spans="2:22" ht="22" customHeight="1" x14ac:dyDescent="0.2">
      <c r="B89" s="44" t="str">
        <f>'03 · Criterio'!$C$30</f>
        <v>Cuándo asignamos 3 y cuándo 2</v>
      </c>
      <c r="C89" s="99" t="str">
        <f>'03 · Criterio'!$C$31</f>
        <v/>
      </c>
      <c r="D89" s="99"/>
      <c r="E89" s="99"/>
      <c r="F89" s="99"/>
      <c r="G89" s="99"/>
      <c r="H89" s="99"/>
      <c r="I89" s="99"/>
      <c r="J89" s="99"/>
      <c r="K89" s="99"/>
      <c r="L89" s="99"/>
      <c r="M89" s="99"/>
      <c r="N89" s="99"/>
      <c r="O89" s="99"/>
      <c r="P89" s="99"/>
      <c r="Q89" s="99"/>
      <c r="R89" s="99"/>
      <c r="S89" s="99"/>
      <c r="T89" s="99"/>
      <c r="U89" s="99"/>
      <c r="V89" s="99"/>
    </row>
    <row r="90" spans="2:22" ht="22" customHeight="1" x14ac:dyDescent="0.2">
      <c r="B90" s="44" t="str">
        <f>'03 · Criterio'!$C$32</f>
        <v>Cuándo asignamos 4 y con qué horizonte</v>
      </c>
      <c r="C90" s="99" t="str">
        <f>'03 · Criterio'!$C$33</f>
        <v/>
      </c>
      <c r="D90" s="99"/>
      <c r="E90" s="99"/>
      <c r="F90" s="99"/>
      <c r="G90" s="99"/>
      <c r="H90" s="99"/>
      <c r="I90" s="99"/>
      <c r="J90" s="99"/>
      <c r="K90" s="99"/>
      <c r="L90" s="99"/>
      <c r="M90" s="99"/>
      <c r="N90" s="99"/>
      <c r="O90" s="99"/>
      <c r="P90" s="99"/>
      <c r="Q90" s="99"/>
      <c r="R90" s="99"/>
      <c r="S90" s="99"/>
      <c r="T90" s="99"/>
      <c r="U90" s="99"/>
      <c r="V90" s="99"/>
    </row>
    <row r="91" spans="2:22" ht="22" customHeight="1" x14ac:dyDescent="0.2">
      <c r="B91" s="44" t="str">
        <f>'03 · Criterio'!$C$34</f>
        <v>Casos límite y cómo los resolvemos</v>
      </c>
      <c r="C91" s="99" t="str">
        <f>'03 · Criterio'!$C$35</f>
        <v/>
      </c>
      <c r="D91" s="99"/>
      <c r="E91" s="99"/>
      <c r="F91" s="99"/>
      <c r="G91" s="99"/>
      <c r="H91" s="99"/>
      <c r="I91" s="99"/>
      <c r="J91" s="99"/>
      <c r="K91" s="99"/>
      <c r="L91" s="99"/>
      <c r="M91" s="99"/>
      <c r="N91" s="99"/>
      <c r="O91" s="99"/>
      <c r="P91" s="99"/>
      <c r="Q91" s="99"/>
      <c r="R91" s="99"/>
      <c r="S91" s="99"/>
      <c r="T91" s="99"/>
      <c r="U91" s="99"/>
      <c r="V91" s="99"/>
    </row>
    <row r="92" spans="2:22" ht="20" customHeight="1" x14ac:dyDescent="0.2">
      <c r="B92" s="77" t="s">
        <v>223</v>
      </c>
      <c r="C92" s="75"/>
      <c r="D92" s="75"/>
      <c r="E92" s="75"/>
      <c r="F92" s="75"/>
      <c r="G92" s="75"/>
      <c r="H92" s="75"/>
      <c r="I92" s="75"/>
      <c r="J92" s="75"/>
      <c r="K92" s="75"/>
      <c r="L92" s="75"/>
    </row>
    <row r="93" spans="2:22" ht="24" customHeight="1" x14ac:dyDescent="0.2">
      <c r="B93" s="103" t="str">
        <f>IF(AND(COUNTA('02 · Variables'!$C$7:$C$31)&gt;=8,COUNTA('02 · Variables'!$E$7:$E$31)&gt;=COUNTA('02 · Variables'!$C$7:$C$31),COUNTA('03 · Criterio'!$D$9:$D$23)=8),"","⚠ "&amp;IF(COUNTA('02 · Variables'!$C$7:$C$31)&lt;8,"Faltan factores por definir. ","")&amp;IF(COUNTA('02 · Variables'!$E$7:$E$31)&lt;COUNTA('02 · Variables'!$C$7:$C$31),"Hay factores sin definición operacional. ","")&amp;IF(COUNTA('03 · Criterio'!$D$9:$D$23)&lt;8,"El panel no ha acordado el criterio. ","")&amp;"Puede valorar igualmente, pero el resultado será menos fiable.")</f>
        <v/>
      </c>
      <c r="C93" s="104"/>
      <c r="D93" s="104"/>
      <c r="E93" s="104"/>
      <c r="F93" s="104"/>
      <c r="G93" s="28"/>
      <c r="H93" s="28"/>
      <c r="I93" s="28"/>
      <c r="J93" s="28"/>
      <c r="K93" s="28"/>
      <c r="L93" s="28"/>
      <c r="M93" s="28"/>
      <c r="N93" s="28"/>
      <c r="O93" s="28"/>
      <c r="P93" s="28"/>
      <c r="Q93" s="28"/>
      <c r="R93" s="28"/>
      <c r="S93" s="28"/>
      <c r="T93" s="28"/>
      <c r="U93" s="28"/>
      <c r="V93" s="28"/>
    </row>
    <row r="95" spans="2:22" ht="32" customHeight="1" x14ac:dyDescent="0.2">
      <c r="B95" s="82" t="s">
        <v>224</v>
      </c>
      <c r="C95" s="82"/>
      <c r="D95" s="82"/>
      <c r="E95" s="82"/>
      <c r="F95" s="82"/>
    </row>
  </sheetData>
  <sheetProtection password="CD7E" sheet="1" formatCells="0" formatColumns="0" formatRows="0" insertRows="0"/>
  <mergeCells count="11">
    <mergeCell ref="B95:F95"/>
    <mergeCell ref="C89:V89"/>
    <mergeCell ref="C90:V90"/>
    <mergeCell ref="C91:V91"/>
    <mergeCell ref="B93:F93"/>
    <mergeCell ref="B92:L92"/>
    <mergeCell ref="B1:L1"/>
    <mergeCell ref="B3:V3"/>
    <mergeCell ref="B4:V4"/>
    <mergeCell ref="B87:L87"/>
    <mergeCell ref="C88:V88"/>
  </mergeCells>
  <dataValidations count="1">
    <dataValidation type="list" allowBlank="1" showInputMessage="1" showErrorMessage="1" errorTitle="Valor no admitido" error="0 ninguna · 1 débil · 2 media · 3 fuerte · 4 potencial. Si la fila llega a la columna a través de un tercer factor, escriba 0." promptTitle="Influencia directa" prompt="0 ninguna · 1 débil · 2 media · 3 fuerte · 4 potencial. Si la fila llega a la columna a través de un tercer factor, escriba 0." sqref="C6:AA30" xr:uid="{00000000-0002-0000-0400-000000000000}">
      <formula1>"0,1,2,3,4"</formula1>
    </dataValidation>
  </dataValidations>
  <hyperlinks>
    <hyperlink ref="B2" location="'01 · Encuadre'!A1" display="Encuadre" xr:uid="{00000000-0004-0000-0400-000000000000}"/>
    <hyperlink ref="E2" location="'02 · Variables'!A1" display="Variables" xr:uid="{00000000-0004-0000-0400-000001000000}"/>
    <hyperlink ref="H2" location="'03 · Criterio'!A1" display="Criterio" xr:uid="{00000000-0004-0000-0400-000002000000}"/>
    <hyperlink ref="K2" location="'04 · Matriz'!A1" display="Matriz" xr:uid="{00000000-0004-0000-0400-000003000000}"/>
    <hyperlink ref="N2" location="'05 · Resultado'!A1" display="Resultado" xr:uid="{00000000-0004-0000-0400-000004000000}"/>
    <hyperlink ref="Q2" location="'Comprobación'!A1" display="Revisión" xr:uid="{00000000-0004-0000-0400-000005000000}"/>
    <hyperlink ref="T2" location="'06 · Informe'!A1" display="Informe" xr:uid="{00000000-0004-0000-0400-000006000000}"/>
    <hyperlink ref="CG2" location="Inicio!A1" display="Inicio" xr:uid="{00000000-0004-0000-0400-000007000000}"/>
    <hyperlink ref="B93" location="'05 · Resultado'!A1" display="Resultado" xr:uid="{00000000-0004-0000-0400-000008000000}"/>
    <hyperlink ref="B95" location="'05 · Resultado'!A1" display="Resultado" xr:uid="{00000000-0004-0000-0400-000009000000}"/>
  </hyperlinks>
  <pageMargins left="0.4" right="0.4" top="0.5" bottom="0.5" header="0.3" footer="0.3"/>
  <pageSetup paperSize="9" fitToHeight="0" orientation="landscape"/>
  <headerFooter>
    <oddFooter>&amp;L&amp;"Aptos,Regular"&amp;8&amp;K94A0AEIntelKIT · MICMAC Essentials v1.0&amp;R&amp;"Aptos,Regular"&amp;8&amp;K94A0AEPágina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A3F9E"/>
    <pageSetUpPr fitToPage="1"/>
  </sheetPr>
  <dimension ref="A1:AN126"/>
  <sheetViews>
    <sheetView showGridLines="0" zoomScaleNormal="100" workbookViewId="0">
      <pane ySplit="6" topLeftCell="A8" activePane="bottomLeft" state="frozen"/>
      <selection pane="bottomLeft"/>
    </sheetView>
  </sheetViews>
  <sheetFormatPr baseColWidth="10" defaultRowHeight="15" x14ac:dyDescent="0.2"/>
  <cols>
    <col min="1" max="1" width="2" customWidth="1"/>
    <col min="2" max="31" width="4.33203125" customWidth="1"/>
    <col min="32" max="34" width="3" hidden="1" customWidth="1"/>
    <col min="36" max="40" width="3" hidden="1" customWidth="1"/>
  </cols>
  <sheetData>
    <row r="1" spans="1:40" ht="28" customHeight="1" x14ac:dyDescent="0.2">
      <c r="A1" s="36"/>
      <c r="B1" s="73" t="s">
        <v>94</v>
      </c>
      <c r="C1" s="73"/>
      <c r="D1" s="73"/>
      <c r="E1" s="73"/>
      <c r="F1" s="73"/>
      <c r="G1" s="73"/>
      <c r="H1" s="73"/>
      <c r="I1" s="73"/>
      <c r="J1" s="73"/>
      <c r="K1" s="73"/>
      <c r="L1" s="73"/>
      <c r="M1" s="73"/>
      <c r="N1" s="73"/>
      <c r="O1" s="73"/>
      <c r="P1" s="36"/>
      <c r="Q1" s="36"/>
      <c r="R1" s="36"/>
      <c r="S1" s="36"/>
      <c r="T1" s="36"/>
      <c r="U1" s="36"/>
      <c r="V1" s="36"/>
      <c r="W1" s="36"/>
      <c r="X1" s="36"/>
      <c r="Y1" s="36"/>
      <c r="Z1" s="36"/>
      <c r="AA1" s="36"/>
      <c r="AB1" s="36"/>
      <c r="AC1" s="36"/>
      <c r="AD1" s="36"/>
      <c r="AE1" s="37" t="s">
        <v>225</v>
      </c>
    </row>
    <row r="2" spans="1:40" ht="24" customHeight="1" x14ac:dyDescent="0.2">
      <c r="B2" s="105" t="str">
        <f>IF(COUNTA('01 · Encuadre'!$B$10,'01 · Encuadre'!$B$14,'01 · Encuadre'!$B$18,'01 · Encuadre'!$B$22)=4,"✓ 1 · Encuadre","1 · Encuadre")</f>
        <v>✓ 1 · Encuadre</v>
      </c>
      <c r="C2" s="106"/>
      <c r="D2" s="106"/>
      <c r="E2" s="106"/>
      <c r="F2" s="105" t="str">
        <f>IF(COUNTA('02 · Variables'!$C$7:$C$31)&gt;=8,"✓ 2 · Variables","2 · Variables")</f>
        <v>✓ 2 · Variables</v>
      </c>
      <c r="G2" s="106"/>
      <c r="H2" s="106"/>
      <c r="I2" s="106"/>
      <c r="J2" s="105" t="str">
        <f>IF(COUNTA('03 · Criterio'!$D$9:$D$23)=8,"✓ 3 · Criterio","3 · Criterio")</f>
        <v>✓ 3 · Criterio</v>
      </c>
      <c r="K2" s="106"/>
      <c r="L2" s="106"/>
      <c r="M2" s="106"/>
      <c r="N2" s="105" t="str">
        <f>IF((SUMPRODUCT((ROW('04 · Matriz'!$C$6:$AA$30)-5&lt;=Var_N)*(COLUMN('04 · Matriz'!$C$6:$AA$30)-2&lt;=Var_N)*('04 · Matriz'!$C$6:$AA$30&lt;&gt;""))-Var_N&gt;=Ind_Preguntas),"✓ 4 · Matriz","4 · Matriz")</f>
        <v>4 · Matriz</v>
      </c>
      <c r="O2" s="106"/>
      <c r="P2" s="106"/>
      <c r="Q2" s="106"/>
      <c r="R2" s="107" t="s">
        <v>226</v>
      </c>
      <c r="S2" s="106"/>
      <c r="T2" s="106"/>
      <c r="U2" s="106"/>
      <c r="V2" s="106" t="str">
        <f>IF((SUMPRODUCT((ROW('04 · Matriz'!$C$6:$AA$30)-5&lt;=Var_N)*(COLUMN('04 · Matriz'!$C$6:$AA$30)-2&lt;=Var_N)*('04 · Matriz'!$C$6:$AA$30&lt;&gt;""))-Var_N&gt;=Ind_Preguntas),"✓ 6 · Revisión","6 · Revisión")</f>
        <v>6 · Revisión</v>
      </c>
      <c r="W2" s="106"/>
      <c r="X2" s="106"/>
      <c r="Y2" s="106"/>
      <c r="Z2" s="106" t="str">
        <f>IF((SUMPRODUCT((ROW('04 · Matriz'!$C$6:$AA$30)-5&lt;=Var_N)*(COLUMN('04 · Matriz'!$C$6:$AA$30)-2&lt;=Var_N)*('04 · Matriz'!$C$6:$AA$30&lt;&gt;""))-Var_N&gt;=Ind_Preguntas),"✓ 7 · Informe","7 · Informe")</f>
        <v>7 · Informe</v>
      </c>
      <c r="AA2" s="106"/>
      <c r="AB2" s="106" t="s">
        <v>135</v>
      </c>
      <c r="AC2" s="106"/>
      <c r="AD2" s="106"/>
      <c r="AE2" s="106"/>
    </row>
    <row r="3" spans="1:40" ht="38" customHeight="1" x14ac:dyDescent="0.2">
      <c r="B3" s="76" t="s">
        <v>227</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row>
    <row r="4" spans="1:40" ht="24" customHeight="1" x14ac:dyDescent="0.2">
      <c r="B4" s="88" t="s">
        <v>228</v>
      </c>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row>
    <row r="5" spans="1:40" ht="30" customHeight="1" x14ac:dyDescent="0.2">
      <c r="B5" s="89" t="s">
        <v>229</v>
      </c>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row>
    <row r="6" spans="1:40" ht="10" customHeight="1" x14ac:dyDescent="0.2">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row>
    <row r="7" spans="1:40" ht="22" customHeight="1" x14ac:dyDescent="0.2">
      <c r="B7" s="80" t="str">
        <f>IF(Var_N&lt;2,"● Aún no hay datos suficientes",IF((SUMPRODUCT((ROW('04 · Matriz'!$C$6:$AA$30)-5&lt;=Var_N)*(COLUMN('04 · Matriz'!$C$6:$AA$30)-2&lt;=Var_N)*('04 · Matriz'!$C$6:$AA$30&lt;&gt;""))-Var_N&gt;=Ind_Preguntas),"● Lectura definitiva","● Lectura provisional"))</f>
        <v>● Lectura provisional</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40" ht="24" customHeight="1" x14ac:dyDescent="0.2">
      <c r="B8" s="81" t="str">
        <f>IF(Var_N&lt;2,"Defina al menos 8 factores en el paso 2 para poder analizar el sistema.",IF((SUMPRODUCT((ROW('04 · Matriz'!$C$6:$AA$30)-5&lt;=Var_N)*(COLUMN('04 · Matriz'!$C$6:$AA$30)-2&lt;=Var_N)*('04 · Matriz'!$C$6:$AA$30&lt;&gt;""))-Var_N&gt;=Ind_Preguntas),"La matriz está completa: estas cifras son definitivas.","Faltan "&amp;MAX(0,Ind_Preguntas-(SUMPRODUCT((ROW('04 · Matriz'!$C$6:$AA$30)-5&lt;=Var_N)*(COLUMN('04 · Matriz'!$C$6:$AA$30)-2&lt;=Var_N)*('04 · Matriz'!$C$6:$AA$30&lt;&gt;""))-Var_N))&amp;" valoraciones de "&amp;Ind_Preguntas&amp;". Las cifras cambiarán."))</f>
        <v>Faltan 600 valoraciones de 600. Las cifras cambiarán.</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J8" s="50">
        <f ca="1">IF(1&gt;Var_N,"",COUNTIF(Res_Motricidad,"&gt;"&amp;INDEX(Res_Motricidad,1))+COUNTIF(OFFSET(Res_Motricidad,0,0,1,1),INDEX(Res_Motricidad,1)))</f>
        <v>1</v>
      </c>
      <c r="AK8" s="50">
        <f ca="1">IF(1&gt;Var_N,"",COUNTIF(Res_Dependencia,"&gt;"&amp;INDEX(Res_Dependencia,1))+COUNTIF(OFFSET(Res_Dependencia,0,0,1,1),INDEX(Res_Dependencia,1)))</f>
        <v>1</v>
      </c>
      <c r="AL8" s="50" t="e">
        <f>IF(1&gt;Var_N,"",MAX(0,MIN(18-1,INT(INDEX(Res_Dependencia,1)/MAX(1,MAX(Res_Dependencia))*18)))*100+MAX(0,MIN(12-1,12-1-INT(INDEX(Res_Motricidad,1)/MAX(1,MAX(Res_Motricidad))*12))))</f>
        <v>#VALUE!</v>
      </c>
      <c r="AM8" s="50">
        <f ca="1">IF(1&gt;Var_N,"",COUNTIF(Ind_Motricidad,"&gt;"&amp;INDEX(Ind_Motricidad,1))+COUNTIF(OFFSET(Ind_Motricidad,0,0,1,1),INDEX(Ind_Motricidad,1)))</f>
        <v>1</v>
      </c>
      <c r="AN8" s="50" t="e">
        <f>IF(1&gt;Var_N,0,IF(INDEX(Res_RangoMot,1)-INDEX(Ind_RangoMot,1)&gt;=2,1,0))</f>
        <v>#VALUE!</v>
      </c>
    </row>
    <row r="9" spans="1:40" x14ac:dyDescent="0.2">
      <c r="AJ9" s="50">
        <f ca="1">IF(2&gt;Var_N,"",COUNTIF(Res_Motricidad,"&gt;"&amp;INDEX(Res_Motricidad,2))+COUNTIF(OFFSET(Res_Motricidad,0,0,2,1),INDEX(Res_Motricidad,2)))</f>
        <v>2</v>
      </c>
      <c r="AK9" s="50">
        <f ca="1">IF(2&gt;Var_N,"",COUNTIF(Res_Dependencia,"&gt;"&amp;INDEX(Res_Dependencia,2))+COUNTIF(OFFSET(Res_Dependencia,0,0,2,1),INDEX(Res_Dependencia,2)))</f>
        <v>2</v>
      </c>
      <c r="AL9" s="50" t="e">
        <f>IF(2&gt;Var_N,"",MAX(0,MIN(18-1,INT(INDEX(Res_Dependencia,2)/MAX(1,MAX(Res_Dependencia))*18)))*100+MAX(0,MIN(12-1,12-1-INT(INDEX(Res_Motricidad,2)/MAX(1,MAX(Res_Motricidad))*12))))</f>
        <v>#VALUE!</v>
      </c>
      <c r="AM9" s="50">
        <f ca="1">IF(2&gt;Var_N,"",COUNTIF(Ind_Motricidad,"&gt;"&amp;INDEX(Ind_Motricidad,2))+COUNTIF(OFFSET(Ind_Motricidad,0,0,2,1),INDEX(Ind_Motricidad,2)))</f>
        <v>2</v>
      </c>
      <c r="AN9" s="50" t="e">
        <f>IF(2&gt;Var_N,0,IF(INDEX(Res_RangoMot,2)-INDEX(Ind_RangoMot,2)&gt;=2,1,0))</f>
        <v>#VALUE!</v>
      </c>
    </row>
    <row r="10" spans="1:40" ht="20" customHeight="1" x14ac:dyDescent="0.2">
      <c r="B10" s="77" t="s">
        <v>230</v>
      </c>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J10" s="50">
        <f ca="1">IF(3&gt;Var_N,"",COUNTIF(Res_Motricidad,"&gt;"&amp;INDEX(Res_Motricidad,3))+COUNTIF(OFFSET(Res_Motricidad,0,0,3,1),INDEX(Res_Motricidad,3)))</f>
        <v>3</v>
      </c>
      <c r="AK10" s="50">
        <f ca="1">IF(3&gt;Var_N,"",COUNTIF(Res_Dependencia,"&gt;"&amp;INDEX(Res_Dependencia,3))+COUNTIF(OFFSET(Res_Dependencia,0,0,3,1),INDEX(Res_Dependencia,3)))</f>
        <v>3</v>
      </c>
      <c r="AL10" s="50" t="e">
        <f>IF(3&gt;Var_N,"",MAX(0,MIN(18-1,INT(INDEX(Res_Dependencia,3)/MAX(1,MAX(Res_Dependencia))*18)))*100+MAX(0,MIN(12-1,12-1-INT(INDEX(Res_Motricidad,3)/MAX(1,MAX(Res_Motricidad))*12))))</f>
        <v>#VALUE!</v>
      </c>
      <c r="AM10" s="50">
        <f ca="1">IF(3&gt;Var_N,"",COUNTIF(Ind_Motricidad,"&gt;"&amp;INDEX(Ind_Motricidad,3))+COUNTIF(OFFSET(Ind_Motricidad,0,0,3,1),INDEX(Ind_Motricidad,3)))</f>
        <v>3</v>
      </c>
      <c r="AN10" s="50" t="e">
        <f>IF(3&gt;Var_N,0,IF(INDEX(Res_RangoMot,3)-INDEX(Ind_RangoMot,3)&gt;=2,1,0))</f>
        <v>#VALUE!</v>
      </c>
    </row>
    <row r="11" spans="1:40" ht="42" customHeight="1" x14ac:dyDescent="0.2">
      <c r="B11" s="108" t="str">
        <f>IF(Var_N&lt;2,"Sin datos suficientes.","De los "&amp;Var_N&amp;" factores analizados, "&amp;COUNTIF(Res_Tipologia,"1 · Entrada / determinante")+COUNTIF(Res_Tipologia,"2 · Intermedia / de enlace")&amp;IF(COUNTIF(Res_Tipologia,"1 · Entrada / determinante")+COUNTIF(Res_Tipologia,"2 · Intermedia / de enlace")=1," gobierna"," gobiernan")&amp;" el sistema: "&amp;COUNTIF(Res_Tipologia,"1 · Entrada / determinante")&amp;IF(COUNTIF(Res_Tipologia,"1 · Entrada / determinante")=1," actúa"," actúan")&amp;" como motor sin recibir apenas influencia y "&amp;COUNTIF(Res_Tipologia,"2 · Intermedia / de enlace")&amp;IF(COUNTIF(Res_Tipologia,"2 · Intermedia / de enlace")=1," es un punto"," son puntos")&amp;" de enlace donde todo cambio se propaga.")</f>
        <v>De los 25 factores analizados, 0 gobiernan el sistema: 0 actúan como motor sin recibir apenas influencia y 0 son puntos de enlace donde todo cambio se propaga.</v>
      </c>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J11" s="50">
        <f ca="1">IF(4&gt;Var_N,"",COUNTIF(Res_Motricidad,"&gt;"&amp;INDEX(Res_Motricidad,4))+COUNTIF(OFFSET(Res_Motricidad,0,0,4,1),INDEX(Res_Motricidad,4)))</f>
        <v>4</v>
      </c>
      <c r="AK11" s="50">
        <f ca="1">IF(4&gt;Var_N,"",COUNTIF(Res_Dependencia,"&gt;"&amp;INDEX(Res_Dependencia,4))+COUNTIF(OFFSET(Res_Dependencia,0,0,4,1),INDEX(Res_Dependencia,4)))</f>
        <v>4</v>
      </c>
      <c r="AL11" s="50" t="e">
        <f>IF(4&gt;Var_N,"",MAX(0,MIN(18-1,INT(INDEX(Res_Dependencia,4)/MAX(1,MAX(Res_Dependencia))*18)))*100+MAX(0,MIN(12-1,12-1-INT(INDEX(Res_Motricidad,4)/MAX(1,MAX(Res_Motricidad))*12))))</f>
        <v>#VALUE!</v>
      </c>
      <c r="AM11" s="50">
        <f ca="1">IF(4&gt;Var_N,"",COUNTIF(Ind_Motricidad,"&gt;"&amp;INDEX(Ind_Motricidad,4))+COUNTIF(OFFSET(Ind_Motricidad,0,0,4,1),INDEX(Ind_Motricidad,4)))</f>
        <v>4</v>
      </c>
      <c r="AN11" s="50" t="e">
        <f>IF(4&gt;Var_N,0,IF(INDEX(Res_RangoMot,4)-INDEX(Ind_RangoMot,4)&gt;=2,1,0))</f>
        <v>#VALUE!</v>
      </c>
    </row>
    <row r="12" spans="1:40" ht="38" customHeight="1" x14ac:dyDescent="0.2">
      <c r="B12" s="109" t="str">
        <f ca="1">IF(Var_N&lt;2,"","El factor más determinante es "&amp;IFERROR(INDEX(Res_Nombre,MATCH(1,$AJ$8:$AJ$32,0)),"")&amp;", que influye sobre "&amp;IFERROR(INDEX(Res_Motricidad,MATCH(1,$AJ$8:$AJ$32,0)),"")&amp;" de los demás. El más dependiente es "&amp;IFERROR(INDEX(Res_Nombre,MATCH(1,$AK$8:$AK$32,0)),"")&amp;", que recibe influencia de "&amp;IFERROR(INDEX(Res_Dependencia,MATCH(1,$AK$8:$AK$32,0)),"")&amp;". La densidad de la matriz es del "&amp;ROUND(Ind_Densidad*100,1)&amp;" %"&amp;IF(AND(Ind_Densidad&gt;=0.2,Ind_Densidad&lt;=0.25),", dentro de lo esperable.",", fuera del rango habitual del 20 % al 25 %: conviene explicarlo en el informe."))</f>
        <v>El factor más determinante es , que influye sobre  de los demás. El más dependiente es , que recibe influencia de . La densidad de la matriz es del 0 %, fuera del rango habitual del 20 % al 25 %: conviene explicarlo en el informe.</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J12" s="50">
        <f ca="1">IF(5&gt;Var_N,"",COUNTIF(Res_Motricidad,"&gt;"&amp;INDEX(Res_Motricidad,5))+COUNTIF(OFFSET(Res_Motricidad,0,0,5,1),INDEX(Res_Motricidad,5)))</f>
        <v>5</v>
      </c>
      <c r="AK12" s="50">
        <f ca="1">IF(5&gt;Var_N,"",COUNTIF(Res_Dependencia,"&gt;"&amp;INDEX(Res_Dependencia,5))+COUNTIF(OFFSET(Res_Dependencia,0,0,5,1),INDEX(Res_Dependencia,5)))</f>
        <v>5</v>
      </c>
      <c r="AL12" s="50" t="e">
        <f>IF(5&gt;Var_N,"",MAX(0,MIN(18-1,INT(INDEX(Res_Dependencia,5)/MAX(1,MAX(Res_Dependencia))*18)))*100+MAX(0,MIN(12-1,12-1-INT(INDEX(Res_Motricidad,5)/MAX(1,MAX(Res_Motricidad))*12))))</f>
        <v>#VALUE!</v>
      </c>
      <c r="AM12" s="50">
        <f ca="1">IF(5&gt;Var_N,"",COUNTIF(Ind_Motricidad,"&gt;"&amp;INDEX(Ind_Motricidad,5))+COUNTIF(OFFSET(Ind_Motricidad,0,0,5,1),INDEX(Ind_Motricidad,5)))</f>
        <v>5</v>
      </c>
      <c r="AN12" s="50" t="e">
        <f>IF(5&gt;Var_N,0,IF(INDEX(Res_RangoMot,5)-INDEX(Ind_RangoMot,5)&gt;=2,1,0))</f>
        <v>#VALUE!</v>
      </c>
    </row>
    <row r="13" spans="1:40" x14ac:dyDescent="0.2">
      <c r="AJ13" s="50">
        <f ca="1">IF(6&gt;Var_N,"",COUNTIF(Res_Motricidad,"&gt;"&amp;INDEX(Res_Motricidad,6))+COUNTIF(OFFSET(Res_Motricidad,0,0,6,1),INDEX(Res_Motricidad,6)))</f>
        <v>6</v>
      </c>
      <c r="AK13" s="50">
        <f ca="1">IF(6&gt;Var_N,"",COUNTIF(Res_Dependencia,"&gt;"&amp;INDEX(Res_Dependencia,6))+COUNTIF(OFFSET(Res_Dependencia,0,0,6,1),INDEX(Res_Dependencia,6)))</f>
        <v>6</v>
      </c>
      <c r="AL13" s="50" t="e">
        <f>IF(6&gt;Var_N,"",MAX(0,MIN(18-1,INT(INDEX(Res_Dependencia,6)/MAX(1,MAX(Res_Dependencia))*18)))*100+MAX(0,MIN(12-1,12-1-INT(INDEX(Res_Motricidad,6)/MAX(1,MAX(Res_Motricidad))*12))))</f>
        <v>#VALUE!</v>
      </c>
      <c r="AM13" s="50">
        <f ca="1">IF(6&gt;Var_N,"",COUNTIF(Ind_Motricidad,"&gt;"&amp;INDEX(Ind_Motricidad,6))+COUNTIF(OFFSET(Ind_Motricidad,0,0,6,1),INDEX(Ind_Motricidad,6)))</f>
        <v>6</v>
      </c>
      <c r="AN13" s="50" t="e">
        <f>IF(6&gt;Var_N,0,IF(INDEX(Res_RangoMot,6)-INDEX(Ind_RangoMot,6)&gt;=2,1,0))</f>
        <v>#VALUE!</v>
      </c>
    </row>
    <row r="14" spans="1:40" x14ac:dyDescent="0.2">
      <c r="B14" s="77" t="s">
        <v>231</v>
      </c>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J14" s="50">
        <f ca="1">IF(7&gt;Var_N,"",COUNTIF(Res_Motricidad,"&gt;"&amp;INDEX(Res_Motricidad,7))+COUNTIF(OFFSET(Res_Motricidad,0,0,7,1),INDEX(Res_Motricidad,7)))</f>
        <v>7</v>
      </c>
      <c r="AK14" s="50">
        <f ca="1">IF(7&gt;Var_N,"",COUNTIF(Res_Dependencia,"&gt;"&amp;INDEX(Res_Dependencia,7))+COUNTIF(OFFSET(Res_Dependencia,0,0,7,1),INDEX(Res_Dependencia,7)))</f>
        <v>7</v>
      </c>
      <c r="AL14" s="50" t="e">
        <f>IF(7&gt;Var_N,"",MAX(0,MIN(18-1,INT(INDEX(Res_Dependencia,7)/MAX(1,MAX(Res_Dependencia))*18)))*100+MAX(0,MIN(12-1,12-1-INT(INDEX(Res_Motricidad,7)/MAX(1,MAX(Res_Motricidad))*12))))</f>
        <v>#VALUE!</v>
      </c>
      <c r="AM14" s="50">
        <f ca="1">IF(7&gt;Var_N,"",COUNTIF(Ind_Motricidad,"&gt;"&amp;INDEX(Ind_Motricidad,7))+COUNTIF(OFFSET(Ind_Motricidad,0,0,7,1),INDEX(Ind_Motricidad,7)))</f>
        <v>7</v>
      </c>
      <c r="AN14" s="50" t="e">
        <f>IF(7&gt;Var_N,0,IF(INDEX(Res_RangoMot,7)-INDEX(Ind_RangoMot,7)&gt;=2,1,0))</f>
        <v>#VALUE!</v>
      </c>
    </row>
    <row r="15" spans="1:40" ht="42" customHeight="1" x14ac:dyDescent="0.2">
      <c r="B15" s="78">
        <f>Var_N</f>
        <v>25</v>
      </c>
      <c r="C15" s="78"/>
      <c r="D15" s="78"/>
      <c r="E15" s="78"/>
      <c r="F15" s="78"/>
      <c r="G15" s="78"/>
      <c r="H15" s="78">
        <f>Ind_Preguntas</f>
        <v>600</v>
      </c>
      <c r="I15" s="78"/>
      <c r="J15" s="78"/>
      <c r="K15" s="78"/>
      <c r="L15" s="78"/>
      <c r="M15" s="78"/>
      <c r="N15" s="78">
        <f>Ind_NoNulas</f>
        <v>0</v>
      </c>
      <c r="O15" s="78"/>
      <c r="P15" s="78"/>
      <c r="Q15" s="78"/>
      <c r="R15" s="78"/>
      <c r="S15" s="78"/>
      <c r="T15" s="79">
        <f>Ind_Densidad</f>
        <v>0</v>
      </c>
      <c r="U15" s="79"/>
      <c r="V15" s="79"/>
      <c r="W15" s="79"/>
      <c r="X15" s="79"/>
      <c r="Y15" s="79"/>
      <c r="Z15" s="78">
        <f>Ind_Potenciales</f>
        <v>0</v>
      </c>
      <c r="AA15" s="78"/>
      <c r="AB15" s="78"/>
      <c r="AC15" s="78"/>
      <c r="AD15" s="78"/>
      <c r="AE15" s="78"/>
      <c r="AJ15" s="50">
        <f ca="1">IF(8&gt;Var_N,"",COUNTIF(Res_Motricidad,"&gt;"&amp;INDEX(Res_Motricidad,8))+COUNTIF(OFFSET(Res_Motricidad,0,0,8,1),INDEX(Res_Motricidad,8)))</f>
        <v>8</v>
      </c>
      <c r="AK15" s="50">
        <f ca="1">IF(8&gt;Var_N,"",COUNTIF(Res_Dependencia,"&gt;"&amp;INDEX(Res_Dependencia,8))+COUNTIF(OFFSET(Res_Dependencia,0,0,8,1),INDEX(Res_Dependencia,8)))</f>
        <v>8</v>
      </c>
      <c r="AL15" s="50" t="e">
        <f>IF(8&gt;Var_N,"",MAX(0,MIN(18-1,INT(INDEX(Res_Dependencia,8)/MAX(1,MAX(Res_Dependencia))*18)))*100+MAX(0,MIN(12-1,12-1-INT(INDEX(Res_Motricidad,8)/MAX(1,MAX(Res_Motricidad))*12))))</f>
        <v>#VALUE!</v>
      </c>
      <c r="AM15" s="50">
        <f ca="1">IF(8&gt;Var_N,"",COUNTIF(Ind_Motricidad,"&gt;"&amp;INDEX(Ind_Motricidad,8))+COUNTIF(OFFSET(Ind_Motricidad,0,0,8,1),INDEX(Ind_Motricidad,8)))</f>
        <v>8</v>
      </c>
      <c r="AN15" s="50" t="e">
        <f>IF(8&gt;Var_N,0,IF(INDEX(Res_RangoMot,8)-INDEX(Ind_RangoMot,8)&gt;=2,1,0))</f>
        <v>#VALUE!</v>
      </c>
    </row>
    <row r="16" spans="1:40" ht="18" customHeight="1" x14ac:dyDescent="0.2">
      <c r="B16" s="77" t="s">
        <v>165</v>
      </c>
      <c r="C16" s="77"/>
      <c r="D16" s="77"/>
      <c r="E16" s="77"/>
      <c r="F16" s="77"/>
      <c r="G16" s="77"/>
      <c r="H16" s="77" t="s">
        <v>232</v>
      </c>
      <c r="I16" s="77"/>
      <c r="J16" s="77"/>
      <c r="K16" s="77"/>
      <c r="L16" s="77"/>
      <c r="M16" s="77"/>
      <c r="N16" s="77" t="s">
        <v>233</v>
      </c>
      <c r="O16" s="77"/>
      <c r="P16" s="77"/>
      <c r="Q16" s="77"/>
      <c r="R16" s="77"/>
      <c r="S16" s="77"/>
      <c r="T16" s="77" t="s">
        <v>46</v>
      </c>
      <c r="U16" s="77"/>
      <c r="V16" s="77"/>
      <c r="W16" s="77"/>
      <c r="X16" s="77"/>
      <c r="Y16" s="77"/>
      <c r="Z16" s="77" t="s">
        <v>234</v>
      </c>
      <c r="AA16" s="77"/>
      <c r="AB16" s="77"/>
      <c r="AC16" s="77"/>
      <c r="AD16" s="77"/>
      <c r="AE16" s="77"/>
      <c r="AJ16" s="50">
        <f ca="1">IF(9&gt;Var_N,"",COUNTIF(Res_Motricidad,"&gt;"&amp;INDEX(Res_Motricidad,9))+COUNTIF(OFFSET(Res_Motricidad,0,0,9,1),INDEX(Res_Motricidad,9)))</f>
        <v>9</v>
      </c>
      <c r="AK16" s="50">
        <f ca="1">IF(9&gt;Var_N,"",COUNTIF(Res_Dependencia,"&gt;"&amp;INDEX(Res_Dependencia,9))+COUNTIF(OFFSET(Res_Dependencia,0,0,9,1),INDEX(Res_Dependencia,9)))</f>
        <v>9</v>
      </c>
      <c r="AL16" s="50" t="e">
        <f>IF(9&gt;Var_N,"",MAX(0,MIN(18-1,INT(INDEX(Res_Dependencia,9)/MAX(1,MAX(Res_Dependencia))*18)))*100+MAX(0,MIN(12-1,12-1-INT(INDEX(Res_Motricidad,9)/MAX(1,MAX(Res_Motricidad))*12))))</f>
        <v>#VALUE!</v>
      </c>
      <c r="AM16" s="50">
        <f ca="1">IF(9&gt;Var_N,"",COUNTIF(Ind_Motricidad,"&gt;"&amp;INDEX(Ind_Motricidad,9))+COUNTIF(OFFSET(Ind_Motricidad,0,0,9,1),INDEX(Ind_Motricidad,9)))</f>
        <v>9</v>
      </c>
      <c r="AN16" s="50" t="e">
        <f>IF(9&gt;Var_N,0,IF(INDEX(Res_RangoMot,9)-INDEX(Ind_RangoMot,9)&gt;=2,1,0))</f>
        <v>#VALUE!</v>
      </c>
    </row>
    <row r="17" spans="2:40" x14ac:dyDescent="0.2">
      <c r="AJ17" s="50">
        <f ca="1">IF(10&gt;Var_N,"",COUNTIF(Res_Motricidad,"&gt;"&amp;INDEX(Res_Motricidad,10))+COUNTIF(OFFSET(Res_Motricidad,0,0,10,1),INDEX(Res_Motricidad,10)))</f>
        <v>10</v>
      </c>
      <c r="AK17" s="50">
        <f ca="1">IF(10&gt;Var_N,"",COUNTIF(Res_Dependencia,"&gt;"&amp;INDEX(Res_Dependencia,10))+COUNTIF(OFFSET(Res_Dependencia,0,0,10,1),INDEX(Res_Dependencia,10)))</f>
        <v>10</v>
      </c>
      <c r="AL17" s="50" t="e">
        <f>IF(10&gt;Var_N,"",MAX(0,MIN(18-1,INT(INDEX(Res_Dependencia,10)/MAX(1,MAX(Res_Dependencia))*18)))*100+MAX(0,MIN(12-1,12-1-INT(INDEX(Res_Motricidad,10)/MAX(1,MAX(Res_Motricidad))*12))))</f>
        <v>#VALUE!</v>
      </c>
      <c r="AM17" s="50">
        <f ca="1">IF(10&gt;Var_N,"",COUNTIF(Ind_Motricidad,"&gt;"&amp;INDEX(Ind_Motricidad,10))+COUNTIF(OFFSET(Ind_Motricidad,0,0,10,1),INDEX(Ind_Motricidad,10)))</f>
        <v>10</v>
      </c>
      <c r="AN17" s="50" t="e">
        <f>IF(10&gt;Var_N,0,IF(INDEX(Res_RangoMot,10)-INDEX(Ind_RangoMot,10)&gt;=2,1,0))</f>
        <v>#VALUE!</v>
      </c>
    </row>
    <row r="18" spans="2:40" ht="20" customHeight="1" x14ac:dyDescent="0.2">
      <c r="B18" s="77" t="s">
        <v>235</v>
      </c>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J18" s="50">
        <f ca="1">IF(11&gt;Var_N,"",COUNTIF(Res_Motricidad,"&gt;"&amp;INDEX(Res_Motricidad,11))+COUNTIF(OFFSET(Res_Motricidad,0,0,11,1),INDEX(Res_Motricidad,11)))</f>
        <v>11</v>
      </c>
      <c r="AK18" s="50">
        <f ca="1">IF(11&gt;Var_N,"",COUNTIF(Res_Dependencia,"&gt;"&amp;INDEX(Res_Dependencia,11))+COUNTIF(OFFSET(Res_Dependencia,0,0,11,1),INDEX(Res_Dependencia,11)))</f>
        <v>11</v>
      </c>
      <c r="AL18" s="50" t="e">
        <f>IF(11&gt;Var_N,"",MAX(0,MIN(18-1,INT(INDEX(Res_Dependencia,11)/MAX(1,MAX(Res_Dependencia))*18)))*100+MAX(0,MIN(12-1,12-1-INT(INDEX(Res_Motricidad,11)/MAX(1,MAX(Res_Motricidad))*12))))</f>
        <v>#VALUE!</v>
      </c>
      <c r="AM18" s="50">
        <f ca="1">IF(11&gt;Var_N,"",COUNTIF(Ind_Motricidad,"&gt;"&amp;INDEX(Ind_Motricidad,11))+COUNTIF(OFFSET(Ind_Motricidad,0,0,11,1),INDEX(Ind_Motricidad,11)))</f>
        <v>11</v>
      </c>
      <c r="AN18" s="50" t="e">
        <f>IF(11&gt;Var_N,0,IF(INDEX(Res_RangoMot,11)-INDEX(Ind_RangoMot,11)&gt;=2,1,0))</f>
        <v>#VALUE!</v>
      </c>
    </row>
    <row r="19" spans="2:40" ht="20" customHeight="1" x14ac:dyDescent="0.2">
      <c r="B19" s="85" t="str">
        <f>IF(SUM(Res_Motricidad)=0,"No hay ninguna influencia directa registrada: sin relaciones no existe estructura que representar. Revise la matriz del paso 4.","Cada factor se sitúa según cuánto influye (vertical) y cuánto es influido (horizontal). Los cuadrantes se identifican solos.")</f>
        <v>No hay ninguna influencia directa registrada: sin relaciones no existe estructura que representar. Revise la matriz del paso 4.</v>
      </c>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J19" s="50">
        <f ca="1">IF(12&gt;Var_N,"",COUNTIF(Res_Motricidad,"&gt;"&amp;INDEX(Res_Motricidad,12))+COUNTIF(OFFSET(Res_Motricidad,0,0,12,1),INDEX(Res_Motricidad,12)))</f>
        <v>12</v>
      </c>
      <c r="AK19" s="50">
        <f ca="1">IF(12&gt;Var_N,"",COUNTIF(Res_Dependencia,"&gt;"&amp;INDEX(Res_Dependencia,12))+COUNTIF(OFFSET(Res_Dependencia,0,0,12,1),INDEX(Res_Dependencia,12)))</f>
        <v>12</v>
      </c>
      <c r="AL19" s="50" t="e">
        <f>IF(12&gt;Var_N,"",MAX(0,MIN(18-1,INT(INDEX(Res_Dependencia,12)/MAX(1,MAX(Res_Dependencia))*18)))*100+MAX(0,MIN(12-1,12-1-INT(INDEX(Res_Motricidad,12)/MAX(1,MAX(Res_Motricidad))*12))))</f>
        <v>#VALUE!</v>
      </c>
      <c r="AM19" s="50">
        <f ca="1">IF(12&gt;Var_N,"",COUNTIF(Ind_Motricidad,"&gt;"&amp;INDEX(Ind_Motricidad,12))+COUNTIF(OFFSET(Ind_Motricidad,0,0,12,1),INDEX(Ind_Motricidad,12)))</f>
        <v>12</v>
      </c>
      <c r="AN19" s="50" t="e">
        <f>IF(12&gt;Var_N,0,IF(INDEX(Res_RangoMot,12)-INDEX(Ind_RangoMot,12)&gt;=2,1,0))</f>
        <v>#VALUE!</v>
      </c>
    </row>
    <row r="20" spans="2:40" ht="18" customHeight="1" x14ac:dyDescent="0.2">
      <c r="B20" s="72" t="s">
        <v>236</v>
      </c>
      <c r="C20" s="110" t="s">
        <v>237</v>
      </c>
      <c r="D20" s="75"/>
      <c r="E20" s="75"/>
      <c r="F20" s="75"/>
      <c r="G20" s="75"/>
      <c r="H20" s="75"/>
      <c r="I20" s="75"/>
      <c r="J20" s="75"/>
      <c r="K20" s="75"/>
      <c r="L20" s="110" t="s">
        <v>238</v>
      </c>
      <c r="M20" s="75"/>
      <c r="N20" s="75"/>
      <c r="O20" s="75"/>
      <c r="P20" s="75"/>
      <c r="Q20" s="75"/>
      <c r="R20" s="75"/>
      <c r="S20" s="75"/>
      <c r="T20" s="75"/>
      <c r="AJ20" s="50">
        <f ca="1">IF(13&gt;Var_N,"",COUNTIF(Res_Motricidad,"&gt;"&amp;INDEX(Res_Motricidad,13))+COUNTIF(OFFSET(Res_Motricidad,0,0,13,1),INDEX(Res_Motricidad,13)))</f>
        <v>13</v>
      </c>
      <c r="AK20" s="50">
        <f ca="1">IF(13&gt;Var_N,"",COUNTIF(Res_Dependencia,"&gt;"&amp;INDEX(Res_Dependencia,13))+COUNTIF(OFFSET(Res_Dependencia,0,0,13,1),INDEX(Res_Dependencia,13)))</f>
        <v>13</v>
      </c>
      <c r="AL20" s="50" t="e">
        <f>IF(13&gt;Var_N,"",MAX(0,MIN(18-1,INT(INDEX(Res_Dependencia,13)/MAX(1,MAX(Res_Dependencia))*18)))*100+MAX(0,MIN(12-1,12-1-INT(INDEX(Res_Motricidad,13)/MAX(1,MAX(Res_Motricidad))*12))))</f>
        <v>#VALUE!</v>
      </c>
      <c r="AM20" s="50">
        <f ca="1">IF(13&gt;Var_N,"",COUNTIF(Ind_Motricidad,"&gt;"&amp;INDEX(Ind_Motricidad,13))+COUNTIF(OFFSET(Ind_Motricidad,0,0,13,1),INDEX(Ind_Motricidad,13)))</f>
        <v>13</v>
      </c>
      <c r="AN20" s="50" t="e">
        <f>IF(13&gt;Var_N,0,IF(INDEX(Res_RangoMot,13)-INDEX(Ind_RangoMot,13)&gt;=2,1,0))</f>
        <v>#VALUE!</v>
      </c>
    </row>
    <row r="21" spans="2:40" ht="15" customHeight="1" x14ac:dyDescent="0.2">
      <c r="C21" s="63" t="str">
        <f>IF(OR(Var_N&lt;2,SUM(Res_Motricidad)=0),"",IF(COUNTIF($AL$8:$AL$32,0)=0,"",IF(COUNTIF($AL$8:$AL$32,0)=1,INDEX(Res_Codigo,MATCH(0,$AL$8:$AL$32,0)),COUNTIF($AL$8:$AL$32,0)&amp;"×")))</f>
        <v/>
      </c>
      <c r="D21" s="59" t="str">
        <f>IF(OR(Var_N&lt;2,SUM(Res_Motricidad)=0),"",IF(COUNTIF($AL$8:$AL$32,100)=0,"",IF(COUNTIF($AL$8:$AL$32,100)=1,INDEX(Res_Codigo,MATCH(100,$AL$8:$AL$32,0)),COUNTIF($AL$8:$AL$32,100)&amp;"×")))</f>
        <v/>
      </c>
      <c r="E21" s="59" t="str">
        <f>IF(OR(Var_N&lt;2,SUM(Res_Motricidad)=0),"",IF(COUNTIF($AL$8:$AL$32,200)=0,"",IF(COUNTIF($AL$8:$AL$32,200)=1,INDEX(Res_Codigo,MATCH(200,$AL$8:$AL$32,0)),COUNTIF($AL$8:$AL$32,200)&amp;"×")))</f>
        <v/>
      </c>
      <c r="F21" s="59" t="str">
        <f>IF(OR(Var_N&lt;2,SUM(Res_Motricidad)=0),"",IF(COUNTIF($AL$8:$AL$32,300)=0,"",IF(COUNTIF($AL$8:$AL$32,300)=1,INDEX(Res_Codigo,MATCH(300,$AL$8:$AL$32,0)),COUNTIF($AL$8:$AL$32,300)&amp;"×")))</f>
        <v/>
      </c>
      <c r="G21" s="59" t="str">
        <f>IF(OR(Var_N&lt;2,SUM(Res_Motricidad)=0),"",IF(COUNTIF($AL$8:$AL$32,400)=0,"",IF(COUNTIF($AL$8:$AL$32,400)=1,INDEX(Res_Codigo,MATCH(400,$AL$8:$AL$32,0)),COUNTIF($AL$8:$AL$32,400)&amp;"×")))</f>
        <v/>
      </c>
      <c r="H21" s="59" t="str">
        <f>IF(OR(Var_N&lt;2,SUM(Res_Motricidad)=0),"",IF(COUNTIF($AL$8:$AL$32,500)=0,"",IF(COUNTIF($AL$8:$AL$32,500)=1,INDEX(Res_Codigo,MATCH(500,$AL$8:$AL$32,0)),COUNTIF($AL$8:$AL$32,500)&amp;"×")))</f>
        <v/>
      </c>
      <c r="I21" s="59" t="str">
        <f>IF(OR(Var_N&lt;2,SUM(Res_Motricidad)=0),"",IF(COUNTIF($AL$8:$AL$32,600)=0,"",IF(COUNTIF($AL$8:$AL$32,600)=1,INDEX(Res_Codigo,MATCH(600,$AL$8:$AL$32,0)),COUNTIF($AL$8:$AL$32,600)&amp;"×")))</f>
        <v/>
      </c>
      <c r="J21" s="59" t="str">
        <f>IF(OR(Var_N&lt;2,SUM(Res_Motricidad)=0),"",IF(COUNTIF($AL$8:$AL$32,700)=0,"",IF(COUNTIF($AL$8:$AL$32,700)=1,INDEX(Res_Codigo,MATCH(700,$AL$8:$AL$32,0)),COUNTIF($AL$8:$AL$32,700)&amp;"×")))</f>
        <v/>
      </c>
      <c r="K21" s="59" t="str">
        <f>IF(OR(Var_N&lt;2,SUM(Res_Motricidad)=0),"",IF(COUNTIF($AL$8:$AL$32,800)=0,"",IF(COUNTIF($AL$8:$AL$32,800)=1,INDEX(Res_Codigo,MATCH(800,$AL$8:$AL$32,0)),COUNTIF($AL$8:$AL$32,800)&amp;"×")))</f>
        <v/>
      </c>
      <c r="L21" s="68" t="str">
        <f>IF(OR(Var_N&lt;2,SUM(Res_Motricidad)=0),"",IF(COUNTIF($AL$8:$AL$32,900)=0,"",IF(COUNTIF($AL$8:$AL$32,900)=1,INDEX(Res_Codigo,MATCH(900,$AL$8:$AL$32,0)),COUNTIF($AL$8:$AL$32,900)&amp;"×")))</f>
        <v/>
      </c>
      <c r="M21" s="60" t="str">
        <f>IF(OR(Var_N&lt;2,SUM(Res_Motricidad)=0),"",IF(COUNTIF($AL$8:$AL$32,1000)=0,"",IF(COUNTIF($AL$8:$AL$32,1000)=1,INDEX(Res_Codigo,MATCH(1000,$AL$8:$AL$32,0)),COUNTIF($AL$8:$AL$32,1000)&amp;"×")))</f>
        <v/>
      </c>
      <c r="N21" s="60" t="str">
        <f>IF(OR(Var_N&lt;2,SUM(Res_Motricidad)=0),"",IF(COUNTIF($AL$8:$AL$32,1100)=0,"",IF(COUNTIF($AL$8:$AL$32,1100)=1,INDEX(Res_Codigo,MATCH(1100,$AL$8:$AL$32,0)),COUNTIF($AL$8:$AL$32,1100)&amp;"×")))</f>
        <v/>
      </c>
      <c r="O21" s="60" t="str">
        <f>IF(OR(Var_N&lt;2,SUM(Res_Motricidad)=0),"",IF(COUNTIF($AL$8:$AL$32,1200)=0,"",IF(COUNTIF($AL$8:$AL$32,1200)=1,INDEX(Res_Codigo,MATCH(1200,$AL$8:$AL$32,0)),COUNTIF($AL$8:$AL$32,1200)&amp;"×")))</f>
        <v/>
      </c>
      <c r="P21" s="60" t="str">
        <f>IF(OR(Var_N&lt;2,SUM(Res_Motricidad)=0),"",IF(COUNTIF($AL$8:$AL$32,1300)=0,"",IF(COUNTIF($AL$8:$AL$32,1300)=1,INDEX(Res_Codigo,MATCH(1300,$AL$8:$AL$32,0)),COUNTIF($AL$8:$AL$32,1300)&amp;"×")))</f>
        <v/>
      </c>
      <c r="Q21" s="60" t="str">
        <f>IF(OR(Var_N&lt;2,SUM(Res_Motricidad)=0),"",IF(COUNTIF($AL$8:$AL$32,1400)=0,"",IF(COUNTIF($AL$8:$AL$32,1400)=1,INDEX(Res_Codigo,MATCH(1400,$AL$8:$AL$32,0)),COUNTIF($AL$8:$AL$32,1400)&amp;"×")))</f>
        <v/>
      </c>
      <c r="R21" s="60" t="str">
        <f>IF(OR(Var_N&lt;2,SUM(Res_Motricidad)=0),"",IF(COUNTIF($AL$8:$AL$32,1500)=0,"",IF(COUNTIF($AL$8:$AL$32,1500)=1,INDEX(Res_Codigo,MATCH(1500,$AL$8:$AL$32,0)),COUNTIF($AL$8:$AL$32,1500)&amp;"×")))</f>
        <v/>
      </c>
      <c r="S21" s="60" t="str">
        <f>IF(OR(Var_N&lt;2,SUM(Res_Motricidad)=0),"",IF(COUNTIF($AL$8:$AL$32,1600)=0,"",IF(COUNTIF($AL$8:$AL$32,1600)=1,INDEX(Res_Codigo,MATCH(1600,$AL$8:$AL$32,0)),COUNTIF($AL$8:$AL$32,1600)&amp;"×")))</f>
        <v/>
      </c>
      <c r="T21" s="60" t="str">
        <f>IF(OR(Var_N&lt;2,SUM(Res_Motricidad)=0),"",IF(COUNTIF($AL$8:$AL$32,1700)=0,"",IF(COUNTIF($AL$8:$AL$32,1700)=1,INDEX(Res_Codigo,MATCH(1700,$AL$8:$AL$32,0)),COUNTIF($AL$8:$AL$32,1700)&amp;"×")))</f>
        <v/>
      </c>
      <c r="AJ21" s="50">
        <f ca="1">IF(14&gt;Var_N,"",COUNTIF(Res_Motricidad,"&gt;"&amp;INDEX(Res_Motricidad,14))+COUNTIF(OFFSET(Res_Motricidad,0,0,14,1),INDEX(Res_Motricidad,14)))</f>
        <v>14</v>
      </c>
      <c r="AK21" s="50">
        <f ca="1">IF(14&gt;Var_N,"",COUNTIF(Res_Dependencia,"&gt;"&amp;INDEX(Res_Dependencia,14))+COUNTIF(OFFSET(Res_Dependencia,0,0,14,1),INDEX(Res_Dependencia,14)))</f>
        <v>14</v>
      </c>
      <c r="AL21" s="50" t="e">
        <f>IF(14&gt;Var_N,"",MAX(0,MIN(18-1,INT(INDEX(Res_Dependencia,14)/MAX(1,MAX(Res_Dependencia))*18)))*100+MAX(0,MIN(12-1,12-1-INT(INDEX(Res_Motricidad,14)/MAX(1,MAX(Res_Motricidad))*12))))</f>
        <v>#VALUE!</v>
      </c>
      <c r="AM21" s="50">
        <f ca="1">IF(14&gt;Var_N,"",COUNTIF(Ind_Motricidad,"&gt;"&amp;INDEX(Ind_Motricidad,14))+COUNTIF(OFFSET(Ind_Motricidad,0,0,14,1),INDEX(Ind_Motricidad,14)))</f>
        <v>14</v>
      </c>
      <c r="AN21" s="50" t="e">
        <f>IF(14&gt;Var_N,0,IF(INDEX(Res_RangoMot,14)-INDEX(Ind_RangoMot,14)&gt;=2,1,0))</f>
        <v>#VALUE!</v>
      </c>
    </row>
    <row r="22" spans="2:40" ht="15" customHeight="1" x14ac:dyDescent="0.2">
      <c r="C22" s="63" t="str">
        <f>IF(OR(Var_N&lt;2,SUM(Res_Motricidad)=0),"",IF(COUNTIF($AL$8:$AL$32,1)=0,"",IF(COUNTIF($AL$8:$AL$32,1)=1,INDEX(Res_Codigo,MATCH(1,$AL$8:$AL$32,0)),COUNTIF($AL$8:$AL$32,1)&amp;"×")))</f>
        <v/>
      </c>
      <c r="D22" s="59" t="str">
        <f>IF(OR(Var_N&lt;2,SUM(Res_Motricidad)=0),"",IF(COUNTIF($AL$8:$AL$32,101)=0,"",IF(COUNTIF($AL$8:$AL$32,101)=1,INDEX(Res_Codigo,MATCH(101,$AL$8:$AL$32,0)),COUNTIF($AL$8:$AL$32,101)&amp;"×")))</f>
        <v/>
      </c>
      <c r="E22" s="59" t="str">
        <f>IF(OR(Var_N&lt;2,SUM(Res_Motricidad)=0),"",IF(COUNTIF($AL$8:$AL$32,201)=0,"",IF(COUNTIF($AL$8:$AL$32,201)=1,INDEX(Res_Codigo,MATCH(201,$AL$8:$AL$32,0)),COUNTIF($AL$8:$AL$32,201)&amp;"×")))</f>
        <v/>
      </c>
      <c r="F22" s="59" t="str">
        <f>IF(OR(Var_N&lt;2,SUM(Res_Motricidad)=0),"",IF(COUNTIF($AL$8:$AL$32,301)=0,"",IF(COUNTIF($AL$8:$AL$32,301)=1,INDEX(Res_Codigo,MATCH(301,$AL$8:$AL$32,0)),COUNTIF($AL$8:$AL$32,301)&amp;"×")))</f>
        <v/>
      </c>
      <c r="G22" s="59" t="str">
        <f>IF(OR(Var_N&lt;2,SUM(Res_Motricidad)=0),"",IF(COUNTIF($AL$8:$AL$32,401)=0,"",IF(COUNTIF($AL$8:$AL$32,401)=1,INDEX(Res_Codigo,MATCH(401,$AL$8:$AL$32,0)),COUNTIF($AL$8:$AL$32,401)&amp;"×")))</f>
        <v/>
      </c>
      <c r="H22" s="59" t="str">
        <f>IF(OR(Var_N&lt;2,SUM(Res_Motricidad)=0),"",IF(COUNTIF($AL$8:$AL$32,501)=0,"",IF(COUNTIF($AL$8:$AL$32,501)=1,INDEX(Res_Codigo,MATCH(501,$AL$8:$AL$32,0)),COUNTIF($AL$8:$AL$32,501)&amp;"×")))</f>
        <v/>
      </c>
      <c r="I22" s="59" t="str">
        <f>IF(OR(Var_N&lt;2,SUM(Res_Motricidad)=0),"",IF(COUNTIF($AL$8:$AL$32,601)=0,"",IF(COUNTIF($AL$8:$AL$32,601)=1,INDEX(Res_Codigo,MATCH(601,$AL$8:$AL$32,0)),COUNTIF($AL$8:$AL$32,601)&amp;"×")))</f>
        <v/>
      </c>
      <c r="J22" s="59" t="str">
        <f>IF(OR(Var_N&lt;2,SUM(Res_Motricidad)=0),"",IF(COUNTIF($AL$8:$AL$32,701)=0,"",IF(COUNTIF($AL$8:$AL$32,701)=1,INDEX(Res_Codigo,MATCH(701,$AL$8:$AL$32,0)),COUNTIF($AL$8:$AL$32,701)&amp;"×")))</f>
        <v/>
      </c>
      <c r="K22" s="59" t="str">
        <f>IF(OR(Var_N&lt;2,SUM(Res_Motricidad)=0),"",IF(COUNTIF($AL$8:$AL$32,801)=0,"",IF(COUNTIF($AL$8:$AL$32,801)=1,INDEX(Res_Codigo,MATCH(801,$AL$8:$AL$32,0)),COUNTIF($AL$8:$AL$32,801)&amp;"×")))</f>
        <v/>
      </c>
      <c r="L22" s="68" t="str">
        <f>IF(OR(Var_N&lt;2,SUM(Res_Motricidad)=0),"",IF(COUNTIF($AL$8:$AL$32,901)=0,"",IF(COUNTIF($AL$8:$AL$32,901)=1,INDEX(Res_Codigo,MATCH(901,$AL$8:$AL$32,0)),COUNTIF($AL$8:$AL$32,901)&amp;"×")))</f>
        <v/>
      </c>
      <c r="M22" s="60" t="str">
        <f>IF(OR(Var_N&lt;2,SUM(Res_Motricidad)=0),"",IF(COUNTIF($AL$8:$AL$32,1001)=0,"",IF(COUNTIF($AL$8:$AL$32,1001)=1,INDEX(Res_Codigo,MATCH(1001,$AL$8:$AL$32,0)),COUNTIF($AL$8:$AL$32,1001)&amp;"×")))</f>
        <v/>
      </c>
      <c r="N22" s="60" t="str">
        <f>IF(OR(Var_N&lt;2,SUM(Res_Motricidad)=0),"",IF(COUNTIF($AL$8:$AL$32,1101)=0,"",IF(COUNTIF($AL$8:$AL$32,1101)=1,INDEX(Res_Codigo,MATCH(1101,$AL$8:$AL$32,0)),COUNTIF($AL$8:$AL$32,1101)&amp;"×")))</f>
        <v/>
      </c>
      <c r="O22" s="60" t="str">
        <f>IF(OR(Var_N&lt;2,SUM(Res_Motricidad)=0),"",IF(COUNTIF($AL$8:$AL$32,1201)=0,"",IF(COUNTIF($AL$8:$AL$32,1201)=1,INDEX(Res_Codigo,MATCH(1201,$AL$8:$AL$32,0)),COUNTIF($AL$8:$AL$32,1201)&amp;"×")))</f>
        <v/>
      </c>
      <c r="P22" s="60" t="str">
        <f>IF(OR(Var_N&lt;2,SUM(Res_Motricidad)=0),"",IF(COUNTIF($AL$8:$AL$32,1301)=0,"",IF(COUNTIF($AL$8:$AL$32,1301)=1,INDEX(Res_Codigo,MATCH(1301,$AL$8:$AL$32,0)),COUNTIF($AL$8:$AL$32,1301)&amp;"×")))</f>
        <v/>
      </c>
      <c r="Q22" s="60" t="str">
        <f>IF(OR(Var_N&lt;2,SUM(Res_Motricidad)=0),"",IF(COUNTIF($AL$8:$AL$32,1401)=0,"",IF(COUNTIF($AL$8:$AL$32,1401)=1,INDEX(Res_Codigo,MATCH(1401,$AL$8:$AL$32,0)),COUNTIF($AL$8:$AL$32,1401)&amp;"×")))</f>
        <v/>
      </c>
      <c r="R22" s="60" t="str">
        <f>IF(OR(Var_N&lt;2,SUM(Res_Motricidad)=0),"",IF(COUNTIF($AL$8:$AL$32,1501)=0,"",IF(COUNTIF($AL$8:$AL$32,1501)=1,INDEX(Res_Codigo,MATCH(1501,$AL$8:$AL$32,0)),COUNTIF($AL$8:$AL$32,1501)&amp;"×")))</f>
        <v/>
      </c>
      <c r="S22" s="60" t="str">
        <f>IF(OR(Var_N&lt;2,SUM(Res_Motricidad)=0),"",IF(COUNTIF($AL$8:$AL$32,1601)=0,"",IF(COUNTIF($AL$8:$AL$32,1601)=1,INDEX(Res_Codigo,MATCH(1601,$AL$8:$AL$32,0)),COUNTIF($AL$8:$AL$32,1601)&amp;"×")))</f>
        <v/>
      </c>
      <c r="T22" s="60" t="str">
        <f>IF(OR(Var_N&lt;2,SUM(Res_Motricidad)=0),"",IF(COUNTIF($AL$8:$AL$32,1701)=0,"",IF(COUNTIF($AL$8:$AL$32,1701)=1,INDEX(Res_Codigo,MATCH(1701,$AL$8:$AL$32,0)),COUNTIF($AL$8:$AL$32,1701)&amp;"×")))</f>
        <v/>
      </c>
      <c r="AJ22" s="50">
        <f ca="1">IF(15&gt;Var_N,"",COUNTIF(Res_Motricidad,"&gt;"&amp;INDEX(Res_Motricidad,15))+COUNTIF(OFFSET(Res_Motricidad,0,0,15,1),INDEX(Res_Motricidad,15)))</f>
        <v>15</v>
      </c>
      <c r="AK22" s="50">
        <f ca="1">IF(15&gt;Var_N,"",COUNTIF(Res_Dependencia,"&gt;"&amp;INDEX(Res_Dependencia,15))+COUNTIF(OFFSET(Res_Dependencia,0,0,15,1),INDEX(Res_Dependencia,15)))</f>
        <v>15</v>
      </c>
      <c r="AL22" s="50" t="e">
        <f>IF(15&gt;Var_N,"",MAX(0,MIN(18-1,INT(INDEX(Res_Dependencia,15)/MAX(1,MAX(Res_Dependencia))*18)))*100+MAX(0,MIN(12-1,12-1-INT(INDEX(Res_Motricidad,15)/MAX(1,MAX(Res_Motricidad))*12))))</f>
        <v>#VALUE!</v>
      </c>
      <c r="AM22" s="50">
        <f ca="1">IF(15&gt;Var_N,"",COUNTIF(Ind_Motricidad,"&gt;"&amp;INDEX(Ind_Motricidad,15))+COUNTIF(OFFSET(Ind_Motricidad,0,0,15,1),INDEX(Ind_Motricidad,15)))</f>
        <v>15</v>
      </c>
      <c r="AN22" s="50" t="e">
        <f>IF(15&gt;Var_N,0,IF(INDEX(Res_RangoMot,15)-INDEX(Ind_RangoMot,15)&gt;=2,1,0))</f>
        <v>#VALUE!</v>
      </c>
    </row>
    <row r="23" spans="2:40" ht="15" customHeight="1" x14ac:dyDescent="0.2">
      <c r="C23" s="63" t="str">
        <f>IF(OR(Var_N&lt;2,SUM(Res_Motricidad)=0),"",IF(COUNTIF($AL$8:$AL$32,2)=0,"",IF(COUNTIF($AL$8:$AL$32,2)=1,INDEX(Res_Codigo,MATCH(2,$AL$8:$AL$32,0)),COUNTIF($AL$8:$AL$32,2)&amp;"×")))</f>
        <v/>
      </c>
      <c r="D23" s="59" t="str">
        <f>IF(OR(Var_N&lt;2,SUM(Res_Motricidad)=0),"",IF(COUNTIF($AL$8:$AL$32,102)=0,"",IF(COUNTIF($AL$8:$AL$32,102)=1,INDEX(Res_Codigo,MATCH(102,$AL$8:$AL$32,0)),COUNTIF($AL$8:$AL$32,102)&amp;"×")))</f>
        <v/>
      </c>
      <c r="E23" s="59" t="str">
        <f>IF(OR(Var_N&lt;2,SUM(Res_Motricidad)=0),"",IF(COUNTIF($AL$8:$AL$32,202)=0,"",IF(COUNTIF($AL$8:$AL$32,202)=1,INDEX(Res_Codigo,MATCH(202,$AL$8:$AL$32,0)),COUNTIF($AL$8:$AL$32,202)&amp;"×")))</f>
        <v/>
      </c>
      <c r="F23" s="59" t="str">
        <f>IF(OR(Var_N&lt;2,SUM(Res_Motricidad)=0),"",IF(COUNTIF($AL$8:$AL$32,302)=0,"",IF(COUNTIF($AL$8:$AL$32,302)=1,INDEX(Res_Codigo,MATCH(302,$AL$8:$AL$32,0)),COUNTIF($AL$8:$AL$32,302)&amp;"×")))</f>
        <v/>
      </c>
      <c r="G23" s="59" t="str">
        <f>IF(OR(Var_N&lt;2,SUM(Res_Motricidad)=0),"",IF(COUNTIF($AL$8:$AL$32,402)=0,"",IF(COUNTIF($AL$8:$AL$32,402)=1,INDEX(Res_Codigo,MATCH(402,$AL$8:$AL$32,0)),COUNTIF($AL$8:$AL$32,402)&amp;"×")))</f>
        <v/>
      </c>
      <c r="H23" s="59" t="str">
        <f>IF(OR(Var_N&lt;2,SUM(Res_Motricidad)=0),"",IF(COUNTIF($AL$8:$AL$32,502)=0,"",IF(COUNTIF($AL$8:$AL$32,502)=1,INDEX(Res_Codigo,MATCH(502,$AL$8:$AL$32,0)),COUNTIF($AL$8:$AL$32,502)&amp;"×")))</f>
        <v/>
      </c>
      <c r="I23" s="59" t="str">
        <f>IF(OR(Var_N&lt;2,SUM(Res_Motricidad)=0),"",IF(COUNTIF($AL$8:$AL$32,602)=0,"",IF(COUNTIF($AL$8:$AL$32,602)=1,INDEX(Res_Codigo,MATCH(602,$AL$8:$AL$32,0)),COUNTIF($AL$8:$AL$32,602)&amp;"×")))</f>
        <v/>
      </c>
      <c r="J23" s="59" t="str">
        <f>IF(OR(Var_N&lt;2,SUM(Res_Motricidad)=0),"",IF(COUNTIF($AL$8:$AL$32,702)=0,"",IF(COUNTIF($AL$8:$AL$32,702)=1,INDEX(Res_Codigo,MATCH(702,$AL$8:$AL$32,0)),COUNTIF($AL$8:$AL$32,702)&amp;"×")))</f>
        <v/>
      </c>
      <c r="K23" s="59" t="str">
        <f>IF(OR(Var_N&lt;2,SUM(Res_Motricidad)=0),"",IF(COUNTIF($AL$8:$AL$32,802)=0,"",IF(COUNTIF($AL$8:$AL$32,802)=1,INDEX(Res_Codigo,MATCH(802,$AL$8:$AL$32,0)),COUNTIF($AL$8:$AL$32,802)&amp;"×")))</f>
        <v/>
      </c>
      <c r="L23" s="68" t="str">
        <f>IF(OR(Var_N&lt;2,SUM(Res_Motricidad)=0),"",IF(COUNTIF($AL$8:$AL$32,902)=0,"",IF(COUNTIF($AL$8:$AL$32,902)=1,INDEX(Res_Codigo,MATCH(902,$AL$8:$AL$32,0)),COUNTIF($AL$8:$AL$32,902)&amp;"×")))</f>
        <v/>
      </c>
      <c r="M23" s="60" t="str">
        <f>IF(OR(Var_N&lt;2,SUM(Res_Motricidad)=0),"",IF(COUNTIF($AL$8:$AL$32,1002)=0,"",IF(COUNTIF($AL$8:$AL$32,1002)=1,INDEX(Res_Codigo,MATCH(1002,$AL$8:$AL$32,0)),COUNTIF($AL$8:$AL$32,1002)&amp;"×")))</f>
        <v/>
      </c>
      <c r="N23" s="60" t="str">
        <f>IF(OR(Var_N&lt;2,SUM(Res_Motricidad)=0),"",IF(COUNTIF($AL$8:$AL$32,1102)=0,"",IF(COUNTIF($AL$8:$AL$32,1102)=1,INDEX(Res_Codigo,MATCH(1102,$AL$8:$AL$32,0)),COUNTIF($AL$8:$AL$32,1102)&amp;"×")))</f>
        <v/>
      </c>
      <c r="O23" s="60" t="str">
        <f>IF(OR(Var_N&lt;2,SUM(Res_Motricidad)=0),"",IF(COUNTIF($AL$8:$AL$32,1202)=0,"",IF(COUNTIF($AL$8:$AL$32,1202)=1,INDEX(Res_Codigo,MATCH(1202,$AL$8:$AL$32,0)),COUNTIF($AL$8:$AL$32,1202)&amp;"×")))</f>
        <v/>
      </c>
      <c r="P23" s="60" t="str">
        <f>IF(OR(Var_N&lt;2,SUM(Res_Motricidad)=0),"",IF(COUNTIF($AL$8:$AL$32,1302)=0,"",IF(COUNTIF($AL$8:$AL$32,1302)=1,INDEX(Res_Codigo,MATCH(1302,$AL$8:$AL$32,0)),COUNTIF($AL$8:$AL$32,1302)&amp;"×")))</f>
        <v/>
      </c>
      <c r="Q23" s="60" t="str">
        <f>IF(OR(Var_N&lt;2,SUM(Res_Motricidad)=0),"",IF(COUNTIF($AL$8:$AL$32,1402)=0,"",IF(COUNTIF($AL$8:$AL$32,1402)=1,INDEX(Res_Codigo,MATCH(1402,$AL$8:$AL$32,0)),COUNTIF($AL$8:$AL$32,1402)&amp;"×")))</f>
        <v/>
      </c>
      <c r="R23" s="60" t="str">
        <f>IF(OR(Var_N&lt;2,SUM(Res_Motricidad)=0),"",IF(COUNTIF($AL$8:$AL$32,1502)=0,"",IF(COUNTIF($AL$8:$AL$32,1502)=1,INDEX(Res_Codigo,MATCH(1502,$AL$8:$AL$32,0)),COUNTIF($AL$8:$AL$32,1502)&amp;"×")))</f>
        <v/>
      </c>
      <c r="S23" s="60" t="str">
        <f>IF(OR(Var_N&lt;2,SUM(Res_Motricidad)=0),"",IF(COUNTIF($AL$8:$AL$32,1602)=0,"",IF(COUNTIF($AL$8:$AL$32,1602)=1,INDEX(Res_Codigo,MATCH(1602,$AL$8:$AL$32,0)),COUNTIF($AL$8:$AL$32,1602)&amp;"×")))</f>
        <v/>
      </c>
      <c r="T23" s="60" t="str">
        <f>IF(OR(Var_N&lt;2,SUM(Res_Motricidad)=0),"",IF(COUNTIF($AL$8:$AL$32,1702)=0,"",IF(COUNTIF($AL$8:$AL$32,1702)=1,INDEX(Res_Codigo,MATCH(1702,$AL$8:$AL$32,0)),COUNTIF($AL$8:$AL$32,1702)&amp;"×")))</f>
        <v/>
      </c>
      <c r="AJ23" s="50">
        <f ca="1">IF(16&gt;Var_N,"",COUNTIF(Res_Motricidad,"&gt;"&amp;INDEX(Res_Motricidad,16))+COUNTIF(OFFSET(Res_Motricidad,0,0,16,1),INDEX(Res_Motricidad,16)))</f>
        <v>16</v>
      </c>
      <c r="AK23" s="50">
        <f ca="1">IF(16&gt;Var_N,"",COUNTIF(Res_Dependencia,"&gt;"&amp;INDEX(Res_Dependencia,16))+COUNTIF(OFFSET(Res_Dependencia,0,0,16,1),INDEX(Res_Dependencia,16)))</f>
        <v>16</v>
      </c>
      <c r="AL23" s="50" t="e">
        <f>IF(16&gt;Var_N,"",MAX(0,MIN(18-1,INT(INDEX(Res_Dependencia,16)/MAX(1,MAX(Res_Dependencia))*18)))*100+MAX(0,MIN(12-1,12-1-INT(INDEX(Res_Motricidad,16)/MAX(1,MAX(Res_Motricidad))*12))))</f>
        <v>#VALUE!</v>
      </c>
      <c r="AM23" s="50">
        <f ca="1">IF(16&gt;Var_N,"",COUNTIF(Ind_Motricidad,"&gt;"&amp;INDEX(Ind_Motricidad,16))+COUNTIF(OFFSET(Ind_Motricidad,0,0,16,1),INDEX(Ind_Motricidad,16)))</f>
        <v>16</v>
      </c>
      <c r="AN23" s="50" t="e">
        <f>IF(16&gt;Var_N,0,IF(INDEX(Res_RangoMot,16)-INDEX(Ind_RangoMot,16)&gt;=2,1,0))</f>
        <v>#VALUE!</v>
      </c>
    </row>
    <row r="24" spans="2:40" ht="15" customHeight="1" x14ac:dyDescent="0.2">
      <c r="C24" s="63" t="str">
        <f>IF(OR(Var_N&lt;2,SUM(Res_Motricidad)=0),"",IF(COUNTIF($AL$8:$AL$32,3)=0,"",IF(COUNTIF($AL$8:$AL$32,3)=1,INDEX(Res_Codigo,MATCH(3,$AL$8:$AL$32,0)),COUNTIF($AL$8:$AL$32,3)&amp;"×")))</f>
        <v/>
      </c>
      <c r="D24" s="59" t="str">
        <f>IF(OR(Var_N&lt;2,SUM(Res_Motricidad)=0),"",IF(COUNTIF($AL$8:$AL$32,103)=0,"",IF(COUNTIF($AL$8:$AL$32,103)=1,INDEX(Res_Codigo,MATCH(103,$AL$8:$AL$32,0)),COUNTIF($AL$8:$AL$32,103)&amp;"×")))</f>
        <v/>
      </c>
      <c r="E24" s="59" t="str">
        <f>IF(OR(Var_N&lt;2,SUM(Res_Motricidad)=0),"",IF(COUNTIF($AL$8:$AL$32,203)=0,"",IF(COUNTIF($AL$8:$AL$32,203)=1,INDEX(Res_Codigo,MATCH(203,$AL$8:$AL$32,0)),COUNTIF($AL$8:$AL$32,203)&amp;"×")))</f>
        <v/>
      </c>
      <c r="F24" s="59" t="str">
        <f>IF(OR(Var_N&lt;2,SUM(Res_Motricidad)=0),"",IF(COUNTIF($AL$8:$AL$32,303)=0,"",IF(COUNTIF($AL$8:$AL$32,303)=1,INDEX(Res_Codigo,MATCH(303,$AL$8:$AL$32,0)),COUNTIF($AL$8:$AL$32,303)&amp;"×")))</f>
        <v/>
      </c>
      <c r="G24" s="59" t="str">
        <f>IF(OR(Var_N&lt;2,SUM(Res_Motricidad)=0),"",IF(COUNTIF($AL$8:$AL$32,403)=0,"",IF(COUNTIF($AL$8:$AL$32,403)=1,INDEX(Res_Codigo,MATCH(403,$AL$8:$AL$32,0)),COUNTIF($AL$8:$AL$32,403)&amp;"×")))</f>
        <v/>
      </c>
      <c r="H24" s="59" t="str">
        <f>IF(OR(Var_N&lt;2,SUM(Res_Motricidad)=0),"",IF(COUNTIF($AL$8:$AL$32,503)=0,"",IF(COUNTIF($AL$8:$AL$32,503)=1,INDEX(Res_Codigo,MATCH(503,$AL$8:$AL$32,0)),COUNTIF($AL$8:$AL$32,503)&amp;"×")))</f>
        <v/>
      </c>
      <c r="I24" s="59" t="str">
        <f>IF(OR(Var_N&lt;2,SUM(Res_Motricidad)=0),"",IF(COUNTIF($AL$8:$AL$32,603)=0,"",IF(COUNTIF($AL$8:$AL$32,603)=1,INDEX(Res_Codigo,MATCH(603,$AL$8:$AL$32,0)),COUNTIF($AL$8:$AL$32,603)&amp;"×")))</f>
        <v/>
      </c>
      <c r="J24" s="59" t="str">
        <f>IF(OR(Var_N&lt;2,SUM(Res_Motricidad)=0),"",IF(COUNTIF($AL$8:$AL$32,703)=0,"",IF(COUNTIF($AL$8:$AL$32,703)=1,INDEX(Res_Codigo,MATCH(703,$AL$8:$AL$32,0)),COUNTIF($AL$8:$AL$32,703)&amp;"×")))</f>
        <v/>
      </c>
      <c r="K24" s="59" t="str">
        <f>IF(OR(Var_N&lt;2,SUM(Res_Motricidad)=0),"",IF(COUNTIF($AL$8:$AL$32,803)=0,"",IF(COUNTIF($AL$8:$AL$32,803)=1,INDEX(Res_Codigo,MATCH(803,$AL$8:$AL$32,0)),COUNTIF($AL$8:$AL$32,803)&amp;"×")))</f>
        <v/>
      </c>
      <c r="L24" s="68" t="str">
        <f>IF(OR(Var_N&lt;2,SUM(Res_Motricidad)=0),"",IF(COUNTIF($AL$8:$AL$32,903)=0,"",IF(COUNTIF($AL$8:$AL$32,903)=1,INDEX(Res_Codigo,MATCH(903,$AL$8:$AL$32,0)),COUNTIF($AL$8:$AL$32,903)&amp;"×")))</f>
        <v/>
      </c>
      <c r="M24" s="60" t="str">
        <f>IF(OR(Var_N&lt;2,SUM(Res_Motricidad)=0),"",IF(COUNTIF($AL$8:$AL$32,1003)=0,"",IF(COUNTIF($AL$8:$AL$32,1003)=1,INDEX(Res_Codigo,MATCH(1003,$AL$8:$AL$32,0)),COUNTIF($AL$8:$AL$32,1003)&amp;"×")))</f>
        <v/>
      </c>
      <c r="N24" s="60" t="str">
        <f>IF(OR(Var_N&lt;2,SUM(Res_Motricidad)=0),"",IF(COUNTIF($AL$8:$AL$32,1103)=0,"",IF(COUNTIF($AL$8:$AL$32,1103)=1,INDEX(Res_Codigo,MATCH(1103,$AL$8:$AL$32,0)),COUNTIF($AL$8:$AL$32,1103)&amp;"×")))</f>
        <v/>
      </c>
      <c r="O24" s="60" t="str">
        <f>IF(OR(Var_N&lt;2,SUM(Res_Motricidad)=0),"",IF(COUNTIF($AL$8:$AL$32,1203)=0,"",IF(COUNTIF($AL$8:$AL$32,1203)=1,INDEX(Res_Codigo,MATCH(1203,$AL$8:$AL$32,0)),COUNTIF($AL$8:$AL$32,1203)&amp;"×")))</f>
        <v/>
      </c>
      <c r="P24" s="60" t="str">
        <f>IF(OR(Var_N&lt;2,SUM(Res_Motricidad)=0),"",IF(COUNTIF($AL$8:$AL$32,1303)=0,"",IF(COUNTIF($AL$8:$AL$32,1303)=1,INDEX(Res_Codigo,MATCH(1303,$AL$8:$AL$32,0)),COUNTIF($AL$8:$AL$32,1303)&amp;"×")))</f>
        <v/>
      </c>
      <c r="Q24" s="60" t="str">
        <f>IF(OR(Var_N&lt;2,SUM(Res_Motricidad)=0),"",IF(COUNTIF($AL$8:$AL$32,1403)=0,"",IF(COUNTIF($AL$8:$AL$32,1403)=1,INDEX(Res_Codigo,MATCH(1403,$AL$8:$AL$32,0)),COUNTIF($AL$8:$AL$32,1403)&amp;"×")))</f>
        <v/>
      </c>
      <c r="R24" s="60" t="str">
        <f>IF(OR(Var_N&lt;2,SUM(Res_Motricidad)=0),"",IF(COUNTIF($AL$8:$AL$32,1503)=0,"",IF(COUNTIF($AL$8:$AL$32,1503)=1,INDEX(Res_Codigo,MATCH(1503,$AL$8:$AL$32,0)),COUNTIF($AL$8:$AL$32,1503)&amp;"×")))</f>
        <v/>
      </c>
      <c r="S24" s="60" t="str">
        <f>IF(OR(Var_N&lt;2,SUM(Res_Motricidad)=0),"",IF(COUNTIF($AL$8:$AL$32,1603)=0,"",IF(COUNTIF($AL$8:$AL$32,1603)=1,INDEX(Res_Codigo,MATCH(1603,$AL$8:$AL$32,0)),COUNTIF($AL$8:$AL$32,1603)&amp;"×")))</f>
        <v/>
      </c>
      <c r="T24" s="60" t="str">
        <f>IF(OR(Var_N&lt;2,SUM(Res_Motricidad)=0),"",IF(COUNTIF($AL$8:$AL$32,1703)=0,"",IF(COUNTIF($AL$8:$AL$32,1703)=1,INDEX(Res_Codigo,MATCH(1703,$AL$8:$AL$32,0)),COUNTIF($AL$8:$AL$32,1703)&amp;"×")))</f>
        <v/>
      </c>
      <c r="AJ24" s="50">
        <f ca="1">IF(17&gt;Var_N,"",COUNTIF(Res_Motricidad,"&gt;"&amp;INDEX(Res_Motricidad,17))+COUNTIF(OFFSET(Res_Motricidad,0,0,17,1),INDEX(Res_Motricidad,17)))</f>
        <v>17</v>
      </c>
      <c r="AK24" s="50">
        <f ca="1">IF(17&gt;Var_N,"",COUNTIF(Res_Dependencia,"&gt;"&amp;INDEX(Res_Dependencia,17))+COUNTIF(OFFSET(Res_Dependencia,0,0,17,1),INDEX(Res_Dependencia,17)))</f>
        <v>17</v>
      </c>
      <c r="AL24" s="50" t="e">
        <f>IF(17&gt;Var_N,"",MAX(0,MIN(18-1,INT(INDEX(Res_Dependencia,17)/MAX(1,MAX(Res_Dependencia))*18)))*100+MAX(0,MIN(12-1,12-1-INT(INDEX(Res_Motricidad,17)/MAX(1,MAX(Res_Motricidad))*12))))</f>
        <v>#VALUE!</v>
      </c>
      <c r="AM24" s="50">
        <f ca="1">IF(17&gt;Var_N,"",COUNTIF(Ind_Motricidad,"&gt;"&amp;INDEX(Ind_Motricidad,17))+COUNTIF(OFFSET(Ind_Motricidad,0,0,17,1),INDEX(Ind_Motricidad,17)))</f>
        <v>17</v>
      </c>
      <c r="AN24" s="50" t="e">
        <f>IF(17&gt;Var_N,0,IF(INDEX(Res_RangoMot,17)-INDEX(Ind_RangoMot,17)&gt;=2,1,0))</f>
        <v>#VALUE!</v>
      </c>
    </row>
    <row r="25" spans="2:40" ht="15" customHeight="1" x14ac:dyDescent="0.2">
      <c r="C25" s="63" t="str">
        <f>IF(OR(Var_N&lt;2,SUM(Res_Motricidad)=0),"",IF(COUNTIF($AL$8:$AL$32,4)=0,"",IF(COUNTIF($AL$8:$AL$32,4)=1,INDEX(Res_Codigo,MATCH(4,$AL$8:$AL$32,0)),COUNTIF($AL$8:$AL$32,4)&amp;"×")))</f>
        <v/>
      </c>
      <c r="D25" s="59" t="str">
        <f>IF(OR(Var_N&lt;2,SUM(Res_Motricidad)=0),"",IF(COUNTIF($AL$8:$AL$32,104)=0,"",IF(COUNTIF($AL$8:$AL$32,104)=1,INDEX(Res_Codigo,MATCH(104,$AL$8:$AL$32,0)),COUNTIF($AL$8:$AL$32,104)&amp;"×")))</f>
        <v/>
      </c>
      <c r="E25" s="59" t="str">
        <f>IF(OR(Var_N&lt;2,SUM(Res_Motricidad)=0),"",IF(COUNTIF($AL$8:$AL$32,204)=0,"",IF(COUNTIF($AL$8:$AL$32,204)=1,INDEX(Res_Codigo,MATCH(204,$AL$8:$AL$32,0)),COUNTIF($AL$8:$AL$32,204)&amp;"×")))</f>
        <v/>
      </c>
      <c r="F25" s="59" t="str">
        <f>IF(OR(Var_N&lt;2,SUM(Res_Motricidad)=0),"",IF(COUNTIF($AL$8:$AL$32,304)=0,"",IF(COUNTIF($AL$8:$AL$32,304)=1,INDEX(Res_Codigo,MATCH(304,$AL$8:$AL$32,0)),COUNTIF($AL$8:$AL$32,304)&amp;"×")))</f>
        <v/>
      </c>
      <c r="G25" s="59" t="str">
        <f>IF(OR(Var_N&lt;2,SUM(Res_Motricidad)=0),"",IF(COUNTIF($AL$8:$AL$32,404)=0,"",IF(COUNTIF($AL$8:$AL$32,404)=1,INDEX(Res_Codigo,MATCH(404,$AL$8:$AL$32,0)),COUNTIF($AL$8:$AL$32,404)&amp;"×")))</f>
        <v/>
      </c>
      <c r="H25" s="59" t="str">
        <f>IF(OR(Var_N&lt;2,SUM(Res_Motricidad)=0),"",IF(COUNTIF($AL$8:$AL$32,504)=0,"",IF(COUNTIF($AL$8:$AL$32,504)=1,INDEX(Res_Codigo,MATCH(504,$AL$8:$AL$32,0)),COUNTIF($AL$8:$AL$32,504)&amp;"×")))</f>
        <v/>
      </c>
      <c r="I25" s="59" t="str">
        <f>IF(OR(Var_N&lt;2,SUM(Res_Motricidad)=0),"",IF(COUNTIF($AL$8:$AL$32,604)=0,"",IF(COUNTIF($AL$8:$AL$32,604)=1,INDEX(Res_Codigo,MATCH(604,$AL$8:$AL$32,0)),COUNTIF($AL$8:$AL$32,604)&amp;"×")))</f>
        <v/>
      </c>
      <c r="J25" s="59" t="str">
        <f>IF(OR(Var_N&lt;2,SUM(Res_Motricidad)=0),"",IF(COUNTIF($AL$8:$AL$32,704)=0,"",IF(COUNTIF($AL$8:$AL$32,704)=1,INDEX(Res_Codigo,MATCH(704,$AL$8:$AL$32,0)),COUNTIF($AL$8:$AL$32,704)&amp;"×")))</f>
        <v/>
      </c>
      <c r="K25" s="59" t="str">
        <f>IF(OR(Var_N&lt;2,SUM(Res_Motricidad)=0),"",IF(COUNTIF($AL$8:$AL$32,804)=0,"",IF(COUNTIF($AL$8:$AL$32,804)=1,INDEX(Res_Codigo,MATCH(804,$AL$8:$AL$32,0)),COUNTIF($AL$8:$AL$32,804)&amp;"×")))</f>
        <v/>
      </c>
      <c r="L25" s="68" t="str">
        <f>IF(OR(Var_N&lt;2,SUM(Res_Motricidad)=0),"",IF(COUNTIF($AL$8:$AL$32,904)=0,"",IF(COUNTIF($AL$8:$AL$32,904)=1,INDEX(Res_Codigo,MATCH(904,$AL$8:$AL$32,0)),COUNTIF($AL$8:$AL$32,904)&amp;"×")))</f>
        <v/>
      </c>
      <c r="M25" s="60" t="str">
        <f>IF(OR(Var_N&lt;2,SUM(Res_Motricidad)=0),"",IF(COUNTIF($AL$8:$AL$32,1004)=0,"",IF(COUNTIF($AL$8:$AL$32,1004)=1,INDEX(Res_Codigo,MATCH(1004,$AL$8:$AL$32,0)),COUNTIF($AL$8:$AL$32,1004)&amp;"×")))</f>
        <v/>
      </c>
      <c r="N25" s="60" t="str">
        <f>IF(OR(Var_N&lt;2,SUM(Res_Motricidad)=0),"",IF(COUNTIF($AL$8:$AL$32,1104)=0,"",IF(COUNTIF($AL$8:$AL$32,1104)=1,INDEX(Res_Codigo,MATCH(1104,$AL$8:$AL$32,0)),COUNTIF($AL$8:$AL$32,1104)&amp;"×")))</f>
        <v/>
      </c>
      <c r="O25" s="60" t="str">
        <f>IF(OR(Var_N&lt;2,SUM(Res_Motricidad)=0),"",IF(COUNTIF($AL$8:$AL$32,1204)=0,"",IF(COUNTIF($AL$8:$AL$32,1204)=1,INDEX(Res_Codigo,MATCH(1204,$AL$8:$AL$32,0)),COUNTIF($AL$8:$AL$32,1204)&amp;"×")))</f>
        <v/>
      </c>
      <c r="P25" s="60" t="str">
        <f>IF(OR(Var_N&lt;2,SUM(Res_Motricidad)=0),"",IF(COUNTIF($AL$8:$AL$32,1304)=0,"",IF(COUNTIF($AL$8:$AL$32,1304)=1,INDEX(Res_Codigo,MATCH(1304,$AL$8:$AL$32,0)),COUNTIF($AL$8:$AL$32,1304)&amp;"×")))</f>
        <v/>
      </c>
      <c r="Q25" s="60" t="str">
        <f>IF(OR(Var_N&lt;2,SUM(Res_Motricidad)=0),"",IF(COUNTIF($AL$8:$AL$32,1404)=0,"",IF(COUNTIF($AL$8:$AL$32,1404)=1,INDEX(Res_Codigo,MATCH(1404,$AL$8:$AL$32,0)),COUNTIF($AL$8:$AL$32,1404)&amp;"×")))</f>
        <v/>
      </c>
      <c r="R25" s="60" t="str">
        <f>IF(OR(Var_N&lt;2,SUM(Res_Motricidad)=0),"",IF(COUNTIF($AL$8:$AL$32,1504)=0,"",IF(COUNTIF($AL$8:$AL$32,1504)=1,INDEX(Res_Codigo,MATCH(1504,$AL$8:$AL$32,0)),COUNTIF($AL$8:$AL$32,1504)&amp;"×")))</f>
        <v/>
      </c>
      <c r="S25" s="60" t="str">
        <f>IF(OR(Var_N&lt;2,SUM(Res_Motricidad)=0),"",IF(COUNTIF($AL$8:$AL$32,1604)=0,"",IF(COUNTIF($AL$8:$AL$32,1604)=1,INDEX(Res_Codigo,MATCH(1604,$AL$8:$AL$32,0)),COUNTIF($AL$8:$AL$32,1604)&amp;"×")))</f>
        <v/>
      </c>
      <c r="T25" s="60" t="str">
        <f>IF(OR(Var_N&lt;2,SUM(Res_Motricidad)=0),"",IF(COUNTIF($AL$8:$AL$32,1704)=0,"",IF(COUNTIF($AL$8:$AL$32,1704)=1,INDEX(Res_Codigo,MATCH(1704,$AL$8:$AL$32,0)),COUNTIF($AL$8:$AL$32,1704)&amp;"×")))</f>
        <v/>
      </c>
      <c r="AJ25" s="50">
        <f ca="1">IF(18&gt;Var_N,"",COUNTIF(Res_Motricidad,"&gt;"&amp;INDEX(Res_Motricidad,18))+COUNTIF(OFFSET(Res_Motricidad,0,0,18,1),INDEX(Res_Motricidad,18)))</f>
        <v>18</v>
      </c>
      <c r="AK25" s="50">
        <f ca="1">IF(18&gt;Var_N,"",COUNTIF(Res_Dependencia,"&gt;"&amp;INDEX(Res_Dependencia,18))+COUNTIF(OFFSET(Res_Dependencia,0,0,18,1),INDEX(Res_Dependencia,18)))</f>
        <v>18</v>
      </c>
      <c r="AL25" s="50" t="e">
        <f>IF(18&gt;Var_N,"",MAX(0,MIN(18-1,INT(INDEX(Res_Dependencia,18)/MAX(1,MAX(Res_Dependencia))*18)))*100+MAX(0,MIN(12-1,12-1-INT(INDEX(Res_Motricidad,18)/MAX(1,MAX(Res_Motricidad))*12))))</f>
        <v>#VALUE!</v>
      </c>
      <c r="AM25" s="50">
        <f ca="1">IF(18&gt;Var_N,"",COUNTIF(Ind_Motricidad,"&gt;"&amp;INDEX(Ind_Motricidad,18))+COUNTIF(OFFSET(Ind_Motricidad,0,0,18,1),INDEX(Ind_Motricidad,18)))</f>
        <v>18</v>
      </c>
      <c r="AN25" s="50" t="e">
        <f>IF(18&gt;Var_N,0,IF(INDEX(Res_RangoMot,18)-INDEX(Ind_RangoMot,18)&gt;=2,1,0))</f>
        <v>#VALUE!</v>
      </c>
    </row>
    <row r="26" spans="2:40" ht="15" customHeight="1" x14ac:dyDescent="0.2">
      <c r="C26" s="63" t="str">
        <f>IF(OR(Var_N&lt;2,SUM(Res_Motricidad)=0),"",IF(COUNTIF($AL$8:$AL$32,5)=0,"",IF(COUNTIF($AL$8:$AL$32,5)=1,INDEX(Res_Codigo,MATCH(5,$AL$8:$AL$32,0)),COUNTIF($AL$8:$AL$32,5)&amp;"×")))</f>
        <v/>
      </c>
      <c r="D26" s="59" t="str">
        <f>IF(OR(Var_N&lt;2,SUM(Res_Motricidad)=0),"",IF(COUNTIF($AL$8:$AL$32,105)=0,"",IF(COUNTIF($AL$8:$AL$32,105)=1,INDEX(Res_Codigo,MATCH(105,$AL$8:$AL$32,0)),COUNTIF($AL$8:$AL$32,105)&amp;"×")))</f>
        <v/>
      </c>
      <c r="E26" s="59" t="str">
        <f>IF(OR(Var_N&lt;2,SUM(Res_Motricidad)=0),"",IF(COUNTIF($AL$8:$AL$32,205)=0,"",IF(COUNTIF($AL$8:$AL$32,205)=1,INDEX(Res_Codigo,MATCH(205,$AL$8:$AL$32,0)),COUNTIF($AL$8:$AL$32,205)&amp;"×")))</f>
        <v/>
      </c>
      <c r="F26" s="59" t="str">
        <f>IF(OR(Var_N&lt;2,SUM(Res_Motricidad)=0),"",IF(COUNTIF($AL$8:$AL$32,305)=0,"",IF(COUNTIF($AL$8:$AL$32,305)=1,INDEX(Res_Codigo,MATCH(305,$AL$8:$AL$32,0)),COUNTIF($AL$8:$AL$32,305)&amp;"×")))</f>
        <v/>
      </c>
      <c r="G26" s="59" t="str">
        <f>IF(OR(Var_N&lt;2,SUM(Res_Motricidad)=0),"",IF(COUNTIF($AL$8:$AL$32,405)=0,"",IF(COUNTIF($AL$8:$AL$32,405)=1,INDEX(Res_Codigo,MATCH(405,$AL$8:$AL$32,0)),COUNTIF($AL$8:$AL$32,405)&amp;"×")))</f>
        <v/>
      </c>
      <c r="H26" s="59" t="str">
        <f>IF(OR(Var_N&lt;2,SUM(Res_Motricidad)=0),"",IF(COUNTIF($AL$8:$AL$32,505)=0,"",IF(COUNTIF($AL$8:$AL$32,505)=1,INDEX(Res_Codigo,MATCH(505,$AL$8:$AL$32,0)),COUNTIF($AL$8:$AL$32,505)&amp;"×")))</f>
        <v/>
      </c>
      <c r="I26" s="59" t="str">
        <f>IF(OR(Var_N&lt;2,SUM(Res_Motricidad)=0),"",IF(COUNTIF($AL$8:$AL$32,605)=0,"",IF(COUNTIF($AL$8:$AL$32,605)=1,INDEX(Res_Codigo,MATCH(605,$AL$8:$AL$32,0)),COUNTIF($AL$8:$AL$32,605)&amp;"×")))</f>
        <v/>
      </c>
      <c r="J26" s="59" t="str">
        <f>IF(OR(Var_N&lt;2,SUM(Res_Motricidad)=0),"",IF(COUNTIF($AL$8:$AL$32,705)=0,"",IF(COUNTIF($AL$8:$AL$32,705)=1,INDEX(Res_Codigo,MATCH(705,$AL$8:$AL$32,0)),COUNTIF($AL$8:$AL$32,705)&amp;"×")))</f>
        <v/>
      </c>
      <c r="K26" s="59" t="str">
        <f>IF(OR(Var_N&lt;2,SUM(Res_Motricidad)=0),"",IF(COUNTIF($AL$8:$AL$32,805)=0,"",IF(COUNTIF($AL$8:$AL$32,805)=1,INDEX(Res_Codigo,MATCH(805,$AL$8:$AL$32,0)),COUNTIF($AL$8:$AL$32,805)&amp;"×")))</f>
        <v/>
      </c>
      <c r="L26" s="68" t="str">
        <f>IF(OR(Var_N&lt;2,SUM(Res_Motricidad)=0),"",IF(COUNTIF($AL$8:$AL$32,905)=0,"",IF(COUNTIF($AL$8:$AL$32,905)=1,INDEX(Res_Codigo,MATCH(905,$AL$8:$AL$32,0)),COUNTIF($AL$8:$AL$32,905)&amp;"×")))</f>
        <v/>
      </c>
      <c r="M26" s="60" t="str">
        <f>IF(OR(Var_N&lt;2,SUM(Res_Motricidad)=0),"",IF(COUNTIF($AL$8:$AL$32,1005)=0,"",IF(COUNTIF($AL$8:$AL$32,1005)=1,INDEX(Res_Codigo,MATCH(1005,$AL$8:$AL$32,0)),COUNTIF($AL$8:$AL$32,1005)&amp;"×")))</f>
        <v/>
      </c>
      <c r="N26" s="60" t="str">
        <f>IF(OR(Var_N&lt;2,SUM(Res_Motricidad)=0),"",IF(COUNTIF($AL$8:$AL$32,1105)=0,"",IF(COUNTIF($AL$8:$AL$32,1105)=1,INDEX(Res_Codigo,MATCH(1105,$AL$8:$AL$32,0)),COUNTIF($AL$8:$AL$32,1105)&amp;"×")))</f>
        <v/>
      </c>
      <c r="O26" s="60" t="str">
        <f>IF(OR(Var_N&lt;2,SUM(Res_Motricidad)=0),"",IF(COUNTIF($AL$8:$AL$32,1205)=0,"",IF(COUNTIF($AL$8:$AL$32,1205)=1,INDEX(Res_Codigo,MATCH(1205,$AL$8:$AL$32,0)),COUNTIF($AL$8:$AL$32,1205)&amp;"×")))</f>
        <v/>
      </c>
      <c r="P26" s="60" t="str">
        <f>IF(OR(Var_N&lt;2,SUM(Res_Motricidad)=0),"",IF(COUNTIF($AL$8:$AL$32,1305)=0,"",IF(COUNTIF($AL$8:$AL$32,1305)=1,INDEX(Res_Codigo,MATCH(1305,$AL$8:$AL$32,0)),COUNTIF($AL$8:$AL$32,1305)&amp;"×")))</f>
        <v/>
      </c>
      <c r="Q26" s="60" t="str">
        <f>IF(OR(Var_N&lt;2,SUM(Res_Motricidad)=0),"",IF(COUNTIF($AL$8:$AL$32,1405)=0,"",IF(COUNTIF($AL$8:$AL$32,1405)=1,INDEX(Res_Codigo,MATCH(1405,$AL$8:$AL$32,0)),COUNTIF($AL$8:$AL$32,1405)&amp;"×")))</f>
        <v/>
      </c>
      <c r="R26" s="60" t="str">
        <f>IF(OR(Var_N&lt;2,SUM(Res_Motricidad)=0),"",IF(COUNTIF($AL$8:$AL$32,1505)=0,"",IF(COUNTIF($AL$8:$AL$32,1505)=1,INDEX(Res_Codigo,MATCH(1505,$AL$8:$AL$32,0)),COUNTIF($AL$8:$AL$32,1505)&amp;"×")))</f>
        <v/>
      </c>
      <c r="S26" s="60" t="str">
        <f>IF(OR(Var_N&lt;2,SUM(Res_Motricidad)=0),"",IF(COUNTIF($AL$8:$AL$32,1605)=0,"",IF(COUNTIF($AL$8:$AL$32,1605)=1,INDEX(Res_Codigo,MATCH(1605,$AL$8:$AL$32,0)),COUNTIF($AL$8:$AL$32,1605)&amp;"×")))</f>
        <v/>
      </c>
      <c r="T26" s="60" t="str">
        <f>IF(OR(Var_N&lt;2,SUM(Res_Motricidad)=0),"",IF(COUNTIF($AL$8:$AL$32,1705)=0,"",IF(COUNTIF($AL$8:$AL$32,1705)=1,INDEX(Res_Codigo,MATCH(1705,$AL$8:$AL$32,0)),COUNTIF($AL$8:$AL$32,1705)&amp;"×")))</f>
        <v/>
      </c>
      <c r="AJ26" s="50">
        <f ca="1">IF(19&gt;Var_N,"",COUNTIF(Res_Motricidad,"&gt;"&amp;INDEX(Res_Motricidad,19))+COUNTIF(OFFSET(Res_Motricidad,0,0,19,1),INDEX(Res_Motricidad,19)))</f>
        <v>19</v>
      </c>
      <c r="AK26" s="50">
        <f ca="1">IF(19&gt;Var_N,"",COUNTIF(Res_Dependencia,"&gt;"&amp;INDEX(Res_Dependencia,19))+COUNTIF(OFFSET(Res_Dependencia,0,0,19,1),INDEX(Res_Dependencia,19)))</f>
        <v>19</v>
      </c>
      <c r="AL26" s="50" t="e">
        <f>IF(19&gt;Var_N,"",MAX(0,MIN(18-1,INT(INDEX(Res_Dependencia,19)/MAX(1,MAX(Res_Dependencia))*18)))*100+MAX(0,MIN(12-1,12-1-INT(INDEX(Res_Motricidad,19)/MAX(1,MAX(Res_Motricidad))*12))))</f>
        <v>#VALUE!</v>
      </c>
      <c r="AM26" s="50">
        <f ca="1">IF(19&gt;Var_N,"",COUNTIF(Ind_Motricidad,"&gt;"&amp;INDEX(Ind_Motricidad,19))+COUNTIF(OFFSET(Ind_Motricidad,0,0,19,1),INDEX(Ind_Motricidad,19)))</f>
        <v>19</v>
      </c>
      <c r="AN26" s="50" t="e">
        <f>IF(19&gt;Var_N,0,IF(INDEX(Res_RangoMot,19)-INDEX(Ind_RangoMot,19)&gt;=2,1,0))</f>
        <v>#VALUE!</v>
      </c>
    </row>
    <row r="27" spans="2:40" ht="15" customHeight="1" x14ac:dyDescent="0.2">
      <c r="C27" s="64" t="str">
        <f>IF(OR(Var_N&lt;2,SUM(Res_Motricidad)=0),"",IF(COUNTIF($AL$8:$AL$32,6)=0,"",IF(COUNTIF($AL$8:$AL$32,6)=1,INDEX(Res_Codigo,MATCH(6,$AL$8:$AL$32,0)),COUNTIF($AL$8:$AL$32,6)&amp;"×")))</f>
        <v/>
      </c>
      <c r="D27" s="70" t="str">
        <f>IF(OR(Var_N&lt;2,SUM(Res_Motricidad)=0),"",IF(COUNTIF($AL$8:$AL$32,106)=0,"",IF(COUNTIF($AL$8:$AL$32,106)=1,INDEX(Res_Codigo,MATCH(106,$AL$8:$AL$32,0)),COUNTIF($AL$8:$AL$32,106)&amp;"×")))</f>
        <v/>
      </c>
      <c r="E27" s="70" t="str">
        <f>IF(OR(Var_N&lt;2,SUM(Res_Motricidad)=0),"",IF(COUNTIF($AL$8:$AL$32,206)=0,"",IF(COUNTIF($AL$8:$AL$32,206)=1,INDEX(Res_Codigo,MATCH(206,$AL$8:$AL$32,0)),COUNTIF($AL$8:$AL$32,206)&amp;"×")))</f>
        <v/>
      </c>
      <c r="F27" s="70" t="str">
        <f>IF(OR(Var_N&lt;2,SUM(Res_Motricidad)=0),"",IF(COUNTIF($AL$8:$AL$32,306)=0,"",IF(COUNTIF($AL$8:$AL$32,306)=1,INDEX(Res_Codigo,MATCH(306,$AL$8:$AL$32,0)),COUNTIF($AL$8:$AL$32,306)&amp;"×")))</f>
        <v/>
      </c>
      <c r="G27" s="70" t="str">
        <f>IF(OR(Var_N&lt;2,SUM(Res_Motricidad)=0),"",IF(COUNTIF($AL$8:$AL$32,406)=0,"",IF(COUNTIF($AL$8:$AL$32,406)=1,INDEX(Res_Codigo,MATCH(406,$AL$8:$AL$32,0)),COUNTIF($AL$8:$AL$32,406)&amp;"×")))</f>
        <v/>
      </c>
      <c r="H27" s="70" t="str">
        <f>IF(OR(Var_N&lt;2,SUM(Res_Motricidad)=0),"",IF(COUNTIF($AL$8:$AL$32,506)=0,"",IF(COUNTIF($AL$8:$AL$32,506)=1,INDEX(Res_Codigo,MATCH(506,$AL$8:$AL$32,0)),COUNTIF($AL$8:$AL$32,506)&amp;"×")))</f>
        <v/>
      </c>
      <c r="I27" s="70" t="str">
        <f>IF(OR(Var_N&lt;2,SUM(Res_Motricidad)=0),"",IF(COUNTIF($AL$8:$AL$32,606)=0,"",IF(COUNTIF($AL$8:$AL$32,606)=1,INDEX(Res_Codigo,MATCH(606,$AL$8:$AL$32,0)),COUNTIF($AL$8:$AL$32,606)&amp;"×")))</f>
        <v/>
      </c>
      <c r="J27" s="70" t="str">
        <f>IF(OR(Var_N&lt;2,SUM(Res_Motricidad)=0),"",IF(COUNTIF($AL$8:$AL$32,706)=0,"",IF(COUNTIF($AL$8:$AL$32,706)=1,INDEX(Res_Codigo,MATCH(706,$AL$8:$AL$32,0)),COUNTIF($AL$8:$AL$32,706)&amp;"×")))</f>
        <v/>
      </c>
      <c r="K27" s="70" t="str">
        <f>IF(OR(Var_N&lt;2,SUM(Res_Motricidad)=0),"",IF(COUNTIF($AL$8:$AL$32,806)=0,"",IF(COUNTIF($AL$8:$AL$32,806)=1,INDEX(Res_Codigo,MATCH(806,$AL$8:$AL$32,0)),COUNTIF($AL$8:$AL$32,806)&amp;"×")))</f>
        <v/>
      </c>
      <c r="L27" s="71" t="str">
        <f>IF(OR(Var_N&lt;2,SUM(Res_Motricidad)=0),"",IF(COUNTIF($AL$8:$AL$32,906)=0,"",IF(COUNTIF($AL$8:$AL$32,906)=1,INDEX(Res_Codigo,MATCH(906,$AL$8:$AL$32,0)),COUNTIF($AL$8:$AL$32,906)&amp;"×")))</f>
        <v/>
      </c>
      <c r="M27" s="71" t="str">
        <f>IF(OR(Var_N&lt;2,SUM(Res_Motricidad)=0),"",IF(COUNTIF($AL$8:$AL$32,1006)=0,"",IF(COUNTIF($AL$8:$AL$32,1006)=1,INDEX(Res_Codigo,MATCH(1006,$AL$8:$AL$32,0)),COUNTIF($AL$8:$AL$32,1006)&amp;"×")))</f>
        <v/>
      </c>
      <c r="N27" s="71" t="str">
        <f>IF(OR(Var_N&lt;2,SUM(Res_Motricidad)=0),"",IF(COUNTIF($AL$8:$AL$32,1106)=0,"",IF(COUNTIF($AL$8:$AL$32,1106)=1,INDEX(Res_Codigo,MATCH(1106,$AL$8:$AL$32,0)),COUNTIF($AL$8:$AL$32,1106)&amp;"×")))</f>
        <v/>
      </c>
      <c r="O27" s="71" t="str">
        <f>IF(OR(Var_N&lt;2,SUM(Res_Motricidad)=0),"",IF(COUNTIF($AL$8:$AL$32,1206)=0,"",IF(COUNTIF($AL$8:$AL$32,1206)=1,INDEX(Res_Codigo,MATCH(1206,$AL$8:$AL$32,0)),COUNTIF($AL$8:$AL$32,1206)&amp;"×")))</f>
        <v/>
      </c>
      <c r="P27" s="71" t="str">
        <f>IF(OR(Var_N&lt;2,SUM(Res_Motricidad)=0),"",IF(COUNTIF($AL$8:$AL$32,1306)=0,"",IF(COUNTIF($AL$8:$AL$32,1306)=1,INDEX(Res_Codigo,MATCH(1306,$AL$8:$AL$32,0)),COUNTIF($AL$8:$AL$32,1306)&amp;"×")))</f>
        <v/>
      </c>
      <c r="Q27" s="71" t="str">
        <f>IF(OR(Var_N&lt;2,SUM(Res_Motricidad)=0),"",IF(COUNTIF($AL$8:$AL$32,1406)=0,"",IF(COUNTIF($AL$8:$AL$32,1406)=1,INDEX(Res_Codigo,MATCH(1406,$AL$8:$AL$32,0)),COUNTIF($AL$8:$AL$32,1406)&amp;"×")))</f>
        <v/>
      </c>
      <c r="R27" s="71" t="str">
        <f>IF(OR(Var_N&lt;2,SUM(Res_Motricidad)=0),"",IF(COUNTIF($AL$8:$AL$32,1506)=0,"",IF(COUNTIF($AL$8:$AL$32,1506)=1,INDEX(Res_Codigo,MATCH(1506,$AL$8:$AL$32,0)),COUNTIF($AL$8:$AL$32,1506)&amp;"×")))</f>
        <v/>
      </c>
      <c r="S27" s="71" t="str">
        <f>IF(OR(Var_N&lt;2,SUM(Res_Motricidad)=0),"",IF(COUNTIF($AL$8:$AL$32,1606)=0,"",IF(COUNTIF($AL$8:$AL$32,1606)=1,INDEX(Res_Codigo,MATCH(1606,$AL$8:$AL$32,0)),COUNTIF($AL$8:$AL$32,1606)&amp;"×")))</f>
        <v/>
      </c>
      <c r="T27" s="71" t="str">
        <f>IF(OR(Var_N&lt;2,SUM(Res_Motricidad)=0),"",IF(COUNTIF($AL$8:$AL$32,1706)=0,"",IF(COUNTIF($AL$8:$AL$32,1706)=1,INDEX(Res_Codigo,MATCH(1706,$AL$8:$AL$32,0)),COUNTIF($AL$8:$AL$32,1706)&amp;"×")))</f>
        <v/>
      </c>
      <c r="AJ27" s="50">
        <f ca="1">IF(20&gt;Var_N,"",COUNTIF(Res_Motricidad,"&gt;"&amp;INDEX(Res_Motricidad,20))+COUNTIF(OFFSET(Res_Motricidad,0,0,20,1),INDEX(Res_Motricidad,20)))</f>
        <v>20</v>
      </c>
      <c r="AK27" s="50">
        <f ca="1">IF(20&gt;Var_N,"",COUNTIF(Res_Dependencia,"&gt;"&amp;INDEX(Res_Dependencia,20))+COUNTIF(OFFSET(Res_Dependencia,0,0,20,1),INDEX(Res_Dependencia,20)))</f>
        <v>20</v>
      </c>
      <c r="AL27" s="50" t="e">
        <f>IF(20&gt;Var_N,"",MAX(0,MIN(18-1,INT(INDEX(Res_Dependencia,20)/MAX(1,MAX(Res_Dependencia))*18)))*100+MAX(0,MIN(12-1,12-1-INT(INDEX(Res_Motricidad,20)/MAX(1,MAX(Res_Motricidad))*12))))</f>
        <v>#VALUE!</v>
      </c>
      <c r="AM27" s="50">
        <f ca="1">IF(20&gt;Var_N,"",COUNTIF(Ind_Motricidad,"&gt;"&amp;INDEX(Ind_Motricidad,20))+COUNTIF(OFFSET(Ind_Motricidad,0,0,20,1),INDEX(Ind_Motricidad,20)))</f>
        <v>20</v>
      </c>
      <c r="AN27" s="50" t="e">
        <f>IF(20&gt;Var_N,0,IF(INDEX(Res_RangoMot,20)-INDEX(Ind_RangoMot,20)&gt;=2,1,0))</f>
        <v>#VALUE!</v>
      </c>
    </row>
    <row r="28" spans="2:40" ht="15" customHeight="1" x14ac:dyDescent="0.2">
      <c r="C28" s="64" t="str">
        <f>IF(OR(Var_N&lt;2,SUM(Res_Motricidad)=0),"",IF(COUNTIF($AL$8:$AL$32,7)=0,"",IF(COUNTIF($AL$8:$AL$32,7)=1,INDEX(Res_Codigo,MATCH(7,$AL$8:$AL$32,0)),COUNTIF($AL$8:$AL$32,7)&amp;"×")))</f>
        <v/>
      </c>
      <c r="D28" s="61" t="str">
        <f>IF(OR(Var_N&lt;2,SUM(Res_Motricidad)=0),"",IF(COUNTIF($AL$8:$AL$32,107)=0,"",IF(COUNTIF($AL$8:$AL$32,107)=1,INDEX(Res_Codigo,MATCH(107,$AL$8:$AL$32,0)),COUNTIF($AL$8:$AL$32,107)&amp;"×")))</f>
        <v/>
      </c>
      <c r="E28" s="61" t="str">
        <f>IF(OR(Var_N&lt;2,SUM(Res_Motricidad)=0),"",IF(COUNTIF($AL$8:$AL$32,207)=0,"",IF(COUNTIF($AL$8:$AL$32,207)=1,INDEX(Res_Codigo,MATCH(207,$AL$8:$AL$32,0)),COUNTIF($AL$8:$AL$32,207)&amp;"×")))</f>
        <v/>
      </c>
      <c r="F28" s="61" t="str">
        <f>IF(OR(Var_N&lt;2,SUM(Res_Motricidad)=0),"",IF(COUNTIF($AL$8:$AL$32,307)=0,"",IF(COUNTIF($AL$8:$AL$32,307)=1,INDEX(Res_Codigo,MATCH(307,$AL$8:$AL$32,0)),COUNTIF($AL$8:$AL$32,307)&amp;"×")))</f>
        <v/>
      </c>
      <c r="G28" s="61" t="str">
        <f>IF(OR(Var_N&lt;2,SUM(Res_Motricidad)=0),"",IF(COUNTIF($AL$8:$AL$32,407)=0,"",IF(COUNTIF($AL$8:$AL$32,407)=1,INDEX(Res_Codigo,MATCH(407,$AL$8:$AL$32,0)),COUNTIF($AL$8:$AL$32,407)&amp;"×")))</f>
        <v/>
      </c>
      <c r="H28" s="61" t="str">
        <f>IF(OR(Var_N&lt;2,SUM(Res_Motricidad)=0),"",IF(COUNTIF($AL$8:$AL$32,507)=0,"",IF(COUNTIF($AL$8:$AL$32,507)=1,INDEX(Res_Codigo,MATCH(507,$AL$8:$AL$32,0)),COUNTIF($AL$8:$AL$32,507)&amp;"×")))</f>
        <v/>
      </c>
      <c r="I28" s="61" t="str">
        <f>IF(OR(Var_N&lt;2,SUM(Res_Motricidad)=0),"",IF(COUNTIF($AL$8:$AL$32,607)=0,"",IF(COUNTIF($AL$8:$AL$32,607)=1,INDEX(Res_Codigo,MATCH(607,$AL$8:$AL$32,0)),COUNTIF($AL$8:$AL$32,607)&amp;"×")))</f>
        <v/>
      </c>
      <c r="J28" s="61" t="str">
        <f>IF(OR(Var_N&lt;2,SUM(Res_Motricidad)=0),"",IF(COUNTIF($AL$8:$AL$32,707)=0,"",IF(COUNTIF($AL$8:$AL$32,707)=1,INDEX(Res_Codigo,MATCH(707,$AL$8:$AL$32,0)),COUNTIF($AL$8:$AL$32,707)&amp;"×")))</f>
        <v/>
      </c>
      <c r="K28" s="61" t="str">
        <f>IF(OR(Var_N&lt;2,SUM(Res_Motricidad)=0),"",IF(COUNTIF($AL$8:$AL$32,807)=0,"",IF(COUNTIF($AL$8:$AL$32,807)=1,INDEX(Res_Codigo,MATCH(807,$AL$8:$AL$32,0)),COUNTIF($AL$8:$AL$32,807)&amp;"×")))</f>
        <v/>
      </c>
      <c r="L28" s="69" t="str">
        <f>IF(OR(Var_N&lt;2,SUM(Res_Motricidad)=0),"",IF(COUNTIF($AL$8:$AL$32,907)=0,"",IF(COUNTIF($AL$8:$AL$32,907)=1,INDEX(Res_Codigo,MATCH(907,$AL$8:$AL$32,0)),COUNTIF($AL$8:$AL$32,907)&amp;"×")))</f>
        <v/>
      </c>
      <c r="M28" s="62" t="str">
        <f>IF(OR(Var_N&lt;2,SUM(Res_Motricidad)=0),"",IF(COUNTIF($AL$8:$AL$32,1007)=0,"",IF(COUNTIF($AL$8:$AL$32,1007)=1,INDEX(Res_Codigo,MATCH(1007,$AL$8:$AL$32,0)),COUNTIF($AL$8:$AL$32,1007)&amp;"×")))</f>
        <v/>
      </c>
      <c r="N28" s="62" t="str">
        <f>IF(OR(Var_N&lt;2,SUM(Res_Motricidad)=0),"",IF(COUNTIF($AL$8:$AL$32,1107)=0,"",IF(COUNTIF($AL$8:$AL$32,1107)=1,INDEX(Res_Codigo,MATCH(1107,$AL$8:$AL$32,0)),COUNTIF($AL$8:$AL$32,1107)&amp;"×")))</f>
        <v/>
      </c>
      <c r="O28" s="62" t="str">
        <f>IF(OR(Var_N&lt;2,SUM(Res_Motricidad)=0),"",IF(COUNTIF($AL$8:$AL$32,1207)=0,"",IF(COUNTIF($AL$8:$AL$32,1207)=1,INDEX(Res_Codigo,MATCH(1207,$AL$8:$AL$32,0)),COUNTIF($AL$8:$AL$32,1207)&amp;"×")))</f>
        <v/>
      </c>
      <c r="P28" s="62" t="str">
        <f>IF(OR(Var_N&lt;2,SUM(Res_Motricidad)=0),"",IF(COUNTIF($AL$8:$AL$32,1307)=0,"",IF(COUNTIF($AL$8:$AL$32,1307)=1,INDEX(Res_Codigo,MATCH(1307,$AL$8:$AL$32,0)),COUNTIF($AL$8:$AL$32,1307)&amp;"×")))</f>
        <v/>
      </c>
      <c r="Q28" s="62" t="str">
        <f>IF(OR(Var_N&lt;2,SUM(Res_Motricidad)=0),"",IF(COUNTIF($AL$8:$AL$32,1407)=0,"",IF(COUNTIF($AL$8:$AL$32,1407)=1,INDEX(Res_Codigo,MATCH(1407,$AL$8:$AL$32,0)),COUNTIF($AL$8:$AL$32,1407)&amp;"×")))</f>
        <v/>
      </c>
      <c r="R28" s="62" t="str">
        <f>IF(OR(Var_N&lt;2,SUM(Res_Motricidad)=0),"",IF(COUNTIF($AL$8:$AL$32,1507)=0,"",IF(COUNTIF($AL$8:$AL$32,1507)=1,INDEX(Res_Codigo,MATCH(1507,$AL$8:$AL$32,0)),COUNTIF($AL$8:$AL$32,1507)&amp;"×")))</f>
        <v/>
      </c>
      <c r="S28" s="62" t="str">
        <f>IF(OR(Var_N&lt;2,SUM(Res_Motricidad)=0),"",IF(COUNTIF($AL$8:$AL$32,1607)=0,"",IF(COUNTIF($AL$8:$AL$32,1607)=1,INDEX(Res_Codigo,MATCH(1607,$AL$8:$AL$32,0)),COUNTIF($AL$8:$AL$32,1607)&amp;"×")))</f>
        <v/>
      </c>
      <c r="T28" s="62" t="str">
        <f>IF(OR(Var_N&lt;2,SUM(Res_Motricidad)=0),"",IF(COUNTIF($AL$8:$AL$32,1707)=0,"",IF(COUNTIF($AL$8:$AL$32,1707)=1,INDEX(Res_Codigo,MATCH(1707,$AL$8:$AL$32,0)),COUNTIF($AL$8:$AL$32,1707)&amp;"×")))</f>
        <v/>
      </c>
      <c r="AJ28" s="50">
        <f ca="1">IF(21&gt;Var_N,"",COUNTIF(Res_Motricidad,"&gt;"&amp;INDEX(Res_Motricidad,21))+COUNTIF(OFFSET(Res_Motricidad,0,0,21,1),INDEX(Res_Motricidad,21)))</f>
        <v>21</v>
      </c>
      <c r="AK28" s="50">
        <f ca="1">IF(21&gt;Var_N,"",COUNTIF(Res_Dependencia,"&gt;"&amp;INDEX(Res_Dependencia,21))+COUNTIF(OFFSET(Res_Dependencia,0,0,21,1),INDEX(Res_Dependencia,21)))</f>
        <v>21</v>
      </c>
      <c r="AL28" s="50" t="e">
        <f>IF(21&gt;Var_N,"",MAX(0,MIN(18-1,INT(INDEX(Res_Dependencia,21)/MAX(1,MAX(Res_Dependencia))*18)))*100+MAX(0,MIN(12-1,12-1-INT(INDEX(Res_Motricidad,21)/MAX(1,MAX(Res_Motricidad))*12))))</f>
        <v>#VALUE!</v>
      </c>
      <c r="AM28" s="50">
        <f ca="1">IF(21&gt;Var_N,"",COUNTIF(Ind_Motricidad,"&gt;"&amp;INDEX(Ind_Motricidad,21))+COUNTIF(OFFSET(Ind_Motricidad,0,0,21,1),INDEX(Ind_Motricidad,21)))</f>
        <v>21</v>
      </c>
      <c r="AN28" s="50" t="e">
        <f>IF(21&gt;Var_N,0,IF(INDEX(Res_RangoMot,21)-INDEX(Ind_RangoMot,21)&gt;=2,1,0))</f>
        <v>#VALUE!</v>
      </c>
    </row>
    <row r="29" spans="2:40" ht="15" customHeight="1" x14ac:dyDescent="0.2">
      <c r="C29" s="64" t="str">
        <f>IF(OR(Var_N&lt;2,SUM(Res_Motricidad)=0),"",IF(COUNTIF($AL$8:$AL$32,8)=0,"",IF(COUNTIF($AL$8:$AL$32,8)=1,INDEX(Res_Codigo,MATCH(8,$AL$8:$AL$32,0)),COUNTIF($AL$8:$AL$32,8)&amp;"×")))</f>
        <v/>
      </c>
      <c r="D29" s="61" t="str">
        <f>IF(OR(Var_N&lt;2,SUM(Res_Motricidad)=0),"",IF(COUNTIF($AL$8:$AL$32,108)=0,"",IF(COUNTIF($AL$8:$AL$32,108)=1,INDEX(Res_Codigo,MATCH(108,$AL$8:$AL$32,0)),COUNTIF($AL$8:$AL$32,108)&amp;"×")))</f>
        <v/>
      </c>
      <c r="E29" s="61" t="str">
        <f>IF(OR(Var_N&lt;2,SUM(Res_Motricidad)=0),"",IF(COUNTIF($AL$8:$AL$32,208)=0,"",IF(COUNTIF($AL$8:$AL$32,208)=1,INDEX(Res_Codigo,MATCH(208,$AL$8:$AL$32,0)),COUNTIF($AL$8:$AL$32,208)&amp;"×")))</f>
        <v/>
      </c>
      <c r="F29" s="61" t="str">
        <f>IF(OR(Var_N&lt;2,SUM(Res_Motricidad)=0),"",IF(COUNTIF($AL$8:$AL$32,308)=0,"",IF(COUNTIF($AL$8:$AL$32,308)=1,INDEX(Res_Codigo,MATCH(308,$AL$8:$AL$32,0)),COUNTIF($AL$8:$AL$32,308)&amp;"×")))</f>
        <v/>
      </c>
      <c r="G29" s="61" t="str">
        <f>IF(OR(Var_N&lt;2,SUM(Res_Motricidad)=0),"",IF(COUNTIF($AL$8:$AL$32,408)=0,"",IF(COUNTIF($AL$8:$AL$32,408)=1,INDEX(Res_Codigo,MATCH(408,$AL$8:$AL$32,0)),COUNTIF($AL$8:$AL$32,408)&amp;"×")))</f>
        <v/>
      </c>
      <c r="H29" s="61" t="str">
        <f>IF(OR(Var_N&lt;2,SUM(Res_Motricidad)=0),"",IF(COUNTIF($AL$8:$AL$32,508)=0,"",IF(COUNTIF($AL$8:$AL$32,508)=1,INDEX(Res_Codigo,MATCH(508,$AL$8:$AL$32,0)),COUNTIF($AL$8:$AL$32,508)&amp;"×")))</f>
        <v/>
      </c>
      <c r="I29" s="61" t="str">
        <f>IF(OR(Var_N&lt;2,SUM(Res_Motricidad)=0),"",IF(COUNTIF($AL$8:$AL$32,608)=0,"",IF(COUNTIF($AL$8:$AL$32,608)=1,INDEX(Res_Codigo,MATCH(608,$AL$8:$AL$32,0)),COUNTIF($AL$8:$AL$32,608)&amp;"×")))</f>
        <v/>
      </c>
      <c r="J29" s="61" t="str">
        <f>IF(OR(Var_N&lt;2,SUM(Res_Motricidad)=0),"",IF(COUNTIF($AL$8:$AL$32,708)=0,"",IF(COUNTIF($AL$8:$AL$32,708)=1,INDEX(Res_Codigo,MATCH(708,$AL$8:$AL$32,0)),COUNTIF($AL$8:$AL$32,708)&amp;"×")))</f>
        <v/>
      </c>
      <c r="K29" s="61" t="str">
        <f>IF(OR(Var_N&lt;2,SUM(Res_Motricidad)=0),"",IF(COUNTIF($AL$8:$AL$32,808)=0,"",IF(COUNTIF($AL$8:$AL$32,808)=1,INDEX(Res_Codigo,MATCH(808,$AL$8:$AL$32,0)),COUNTIF($AL$8:$AL$32,808)&amp;"×")))</f>
        <v/>
      </c>
      <c r="L29" s="69" t="str">
        <f>IF(OR(Var_N&lt;2,SUM(Res_Motricidad)=0),"",IF(COUNTIF($AL$8:$AL$32,908)=0,"",IF(COUNTIF($AL$8:$AL$32,908)=1,INDEX(Res_Codigo,MATCH(908,$AL$8:$AL$32,0)),COUNTIF($AL$8:$AL$32,908)&amp;"×")))</f>
        <v/>
      </c>
      <c r="M29" s="62" t="str">
        <f>IF(OR(Var_N&lt;2,SUM(Res_Motricidad)=0),"",IF(COUNTIF($AL$8:$AL$32,1008)=0,"",IF(COUNTIF($AL$8:$AL$32,1008)=1,INDEX(Res_Codigo,MATCH(1008,$AL$8:$AL$32,0)),COUNTIF($AL$8:$AL$32,1008)&amp;"×")))</f>
        <v/>
      </c>
      <c r="N29" s="62" t="str">
        <f>IF(OR(Var_N&lt;2,SUM(Res_Motricidad)=0),"",IF(COUNTIF($AL$8:$AL$32,1108)=0,"",IF(COUNTIF($AL$8:$AL$32,1108)=1,INDEX(Res_Codigo,MATCH(1108,$AL$8:$AL$32,0)),COUNTIF($AL$8:$AL$32,1108)&amp;"×")))</f>
        <v/>
      </c>
      <c r="O29" s="62" t="str">
        <f>IF(OR(Var_N&lt;2,SUM(Res_Motricidad)=0),"",IF(COUNTIF($AL$8:$AL$32,1208)=0,"",IF(COUNTIF($AL$8:$AL$32,1208)=1,INDEX(Res_Codigo,MATCH(1208,$AL$8:$AL$32,0)),COUNTIF($AL$8:$AL$32,1208)&amp;"×")))</f>
        <v/>
      </c>
      <c r="P29" s="62" t="str">
        <f>IF(OR(Var_N&lt;2,SUM(Res_Motricidad)=0),"",IF(COUNTIF($AL$8:$AL$32,1308)=0,"",IF(COUNTIF($AL$8:$AL$32,1308)=1,INDEX(Res_Codigo,MATCH(1308,$AL$8:$AL$32,0)),COUNTIF($AL$8:$AL$32,1308)&amp;"×")))</f>
        <v/>
      </c>
      <c r="Q29" s="62" t="str">
        <f>IF(OR(Var_N&lt;2,SUM(Res_Motricidad)=0),"",IF(COUNTIF($AL$8:$AL$32,1408)=0,"",IF(COUNTIF($AL$8:$AL$32,1408)=1,INDEX(Res_Codigo,MATCH(1408,$AL$8:$AL$32,0)),COUNTIF($AL$8:$AL$32,1408)&amp;"×")))</f>
        <v/>
      </c>
      <c r="R29" s="62" t="str">
        <f>IF(OR(Var_N&lt;2,SUM(Res_Motricidad)=0),"",IF(COUNTIF($AL$8:$AL$32,1508)=0,"",IF(COUNTIF($AL$8:$AL$32,1508)=1,INDEX(Res_Codigo,MATCH(1508,$AL$8:$AL$32,0)),COUNTIF($AL$8:$AL$32,1508)&amp;"×")))</f>
        <v/>
      </c>
      <c r="S29" s="62" t="str">
        <f>IF(OR(Var_N&lt;2,SUM(Res_Motricidad)=0),"",IF(COUNTIF($AL$8:$AL$32,1608)=0,"",IF(COUNTIF($AL$8:$AL$32,1608)=1,INDEX(Res_Codigo,MATCH(1608,$AL$8:$AL$32,0)),COUNTIF($AL$8:$AL$32,1608)&amp;"×")))</f>
        <v/>
      </c>
      <c r="T29" s="62" t="str">
        <f>IF(OR(Var_N&lt;2,SUM(Res_Motricidad)=0),"",IF(COUNTIF($AL$8:$AL$32,1708)=0,"",IF(COUNTIF($AL$8:$AL$32,1708)=1,INDEX(Res_Codigo,MATCH(1708,$AL$8:$AL$32,0)),COUNTIF($AL$8:$AL$32,1708)&amp;"×")))</f>
        <v/>
      </c>
      <c r="AJ29" s="50">
        <f ca="1">IF(22&gt;Var_N,"",COUNTIF(Res_Motricidad,"&gt;"&amp;INDEX(Res_Motricidad,22))+COUNTIF(OFFSET(Res_Motricidad,0,0,22,1),INDEX(Res_Motricidad,22)))</f>
        <v>22</v>
      </c>
      <c r="AK29" s="50">
        <f ca="1">IF(22&gt;Var_N,"",COUNTIF(Res_Dependencia,"&gt;"&amp;INDEX(Res_Dependencia,22))+COUNTIF(OFFSET(Res_Dependencia,0,0,22,1),INDEX(Res_Dependencia,22)))</f>
        <v>22</v>
      </c>
      <c r="AL29" s="50" t="e">
        <f>IF(22&gt;Var_N,"",MAX(0,MIN(18-1,INT(INDEX(Res_Dependencia,22)/MAX(1,MAX(Res_Dependencia))*18)))*100+MAX(0,MIN(12-1,12-1-INT(INDEX(Res_Motricidad,22)/MAX(1,MAX(Res_Motricidad))*12))))</f>
        <v>#VALUE!</v>
      </c>
      <c r="AM29" s="50">
        <f ca="1">IF(22&gt;Var_N,"",COUNTIF(Ind_Motricidad,"&gt;"&amp;INDEX(Ind_Motricidad,22))+COUNTIF(OFFSET(Ind_Motricidad,0,0,22,1),INDEX(Ind_Motricidad,22)))</f>
        <v>22</v>
      </c>
      <c r="AN29" s="50" t="e">
        <f>IF(22&gt;Var_N,0,IF(INDEX(Res_RangoMot,22)-INDEX(Ind_RangoMot,22)&gt;=2,1,0))</f>
        <v>#VALUE!</v>
      </c>
    </row>
    <row r="30" spans="2:40" ht="15" customHeight="1" x14ac:dyDescent="0.2">
      <c r="C30" s="64" t="str">
        <f>IF(OR(Var_N&lt;2,SUM(Res_Motricidad)=0),"",IF(COUNTIF($AL$8:$AL$32,9)=0,"",IF(COUNTIF($AL$8:$AL$32,9)=1,INDEX(Res_Codigo,MATCH(9,$AL$8:$AL$32,0)),COUNTIF($AL$8:$AL$32,9)&amp;"×")))</f>
        <v/>
      </c>
      <c r="D30" s="61" t="str">
        <f>IF(OR(Var_N&lt;2,SUM(Res_Motricidad)=0),"",IF(COUNTIF($AL$8:$AL$32,109)=0,"",IF(COUNTIF($AL$8:$AL$32,109)=1,INDEX(Res_Codigo,MATCH(109,$AL$8:$AL$32,0)),COUNTIF($AL$8:$AL$32,109)&amp;"×")))</f>
        <v/>
      </c>
      <c r="E30" s="61" t="str">
        <f>IF(OR(Var_N&lt;2,SUM(Res_Motricidad)=0),"",IF(COUNTIF($AL$8:$AL$32,209)=0,"",IF(COUNTIF($AL$8:$AL$32,209)=1,INDEX(Res_Codigo,MATCH(209,$AL$8:$AL$32,0)),COUNTIF($AL$8:$AL$32,209)&amp;"×")))</f>
        <v/>
      </c>
      <c r="F30" s="61" t="str">
        <f>IF(OR(Var_N&lt;2,SUM(Res_Motricidad)=0),"",IF(COUNTIF($AL$8:$AL$32,309)=0,"",IF(COUNTIF($AL$8:$AL$32,309)=1,INDEX(Res_Codigo,MATCH(309,$AL$8:$AL$32,0)),COUNTIF($AL$8:$AL$32,309)&amp;"×")))</f>
        <v/>
      </c>
      <c r="G30" s="61" t="str">
        <f>IF(OR(Var_N&lt;2,SUM(Res_Motricidad)=0),"",IF(COUNTIF($AL$8:$AL$32,409)=0,"",IF(COUNTIF($AL$8:$AL$32,409)=1,INDEX(Res_Codigo,MATCH(409,$AL$8:$AL$32,0)),COUNTIF($AL$8:$AL$32,409)&amp;"×")))</f>
        <v/>
      </c>
      <c r="H30" s="61" t="str">
        <f>IF(OR(Var_N&lt;2,SUM(Res_Motricidad)=0),"",IF(COUNTIF($AL$8:$AL$32,509)=0,"",IF(COUNTIF($AL$8:$AL$32,509)=1,INDEX(Res_Codigo,MATCH(509,$AL$8:$AL$32,0)),COUNTIF($AL$8:$AL$32,509)&amp;"×")))</f>
        <v/>
      </c>
      <c r="I30" s="61" t="str">
        <f>IF(OR(Var_N&lt;2,SUM(Res_Motricidad)=0),"",IF(COUNTIF($AL$8:$AL$32,609)=0,"",IF(COUNTIF($AL$8:$AL$32,609)=1,INDEX(Res_Codigo,MATCH(609,$AL$8:$AL$32,0)),COUNTIF($AL$8:$AL$32,609)&amp;"×")))</f>
        <v/>
      </c>
      <c r="J30" s="61" t="str">
        <f>IF(OR(Var_N&lt;2,SUM(Res_Motricidad)=0),"",IF(COUNTIF($AL$8:$AL$32,709)=0,"",IF(COUNTIF($AL$8:$AL$32,709)=1,INDEX(Res_Codigo,MATCH(709,$AL$8:$AL$32,0)),COUNTIF($AL$8:$AL$32,709)&amp;"×")))</f>
        <v/>
      </c>
      <c r="K30" s="61" t="str">
        <f>IF(OR(Var_N&lt;2,SUM(Res_Motricidad)=0),"",IF(COUNTIF($AL$8:$AL$32,809)=0,"",IF(COUNTIF($AL$8:$AL$32,809)=1,INDEX(Res_Codigo,MATCH(809,$AL$8:$AL$32,0)),COUNTIF($AL$8:$AL$32,809)&amp;"×")))</f>
        <v/>
      </c>
      <c r="L30" s="69" t="str">
        <f>IF(OR(Var_N&lt;2,SUM(Res_Motricidad)=0),"",IF(COUNTIF($AL$8:$AL$32,909)=0,"",IF(COUNTIF($AL$8:$AL$32,909)=1,INDEX(Res_Codigo,MATCH(909,$AL$8:$AL$32,0)),COUNTIF($AL$8:$AL$32,909)&amp;"×")))</f>
        <v/>
      </c>
      <c r="M30" s="62" t="str">
        <f>IF(OR(Var_N&lt;2,SUM(Res_Motricidad)=0),"",IF(COUNTIF($AL$8:$AL$32,1009)=0,"",IF(COUNTIF($AL$8:$AL$32,1009)=1,INDEX(Res_Codigo,MATCH(1009,$AL$8:$AL$32,0)),COUNTIF($AL$8:$AL$32,1009)&amp;"×")))</f>
        <v/>
      </c>
      <c r="N30" s="62" t="str">
        <f>IF(OR(Var_N&lt;2,SUM(Res_Motricidad)=0),"",IF(COUNTIF($AL$8:$AL$32,1109)=0,"",IF(COUNTIF($AL$8:$AL$32,1109)=1,INDEX(Res_Codigo,MATCH(1109,$AL$8:$AL$32,0)),COUNTIF($AL$8:$AL$32,1109)&amp;"×")))</f>
        <v/>
      </c>
      <c r="O30" s="62" t="str">
        <f>IF(OR(Var_N&lt;2,SUM(Res_Motricidad)=0),"",IF(COUNTIF($AL$8:$AL$32,1209)=0,"",IF(COUNTIF($AL$8:$AL$32,1209)=1,INDEX(Res_Codigo,MATCH(1209,$AL$8:$AL$32,0)),COUNTIF($AL$8:$AL$32,1209)&amp;"×")))</f>
        <v/>
      </c>
      <c r="P30" s="62" t="str">
        <f>IF(OR(Var_N&lt;2,SUM(Res_Motricidad)=0),"",IF(COUNTIF($AL$8:$AL$32,1309)=0,"",IF(COUNTIF($AL$8:$AL$32,1309)=1,INDEX(Res_Codigo,MATCH(1309,$AL$8:$AL$32,0)),COUNTIF($AL$8:$AL$32,1309)&amp;"×")))</f>
        <v/>
      </c>
      <c r="Q30" s="62" t="str">
        <f>IF(OR(Var_N&lt;2,SUM(Res_Motricidad)=0),"",IF(COUNTIF($AL$8:$AL$32,1409)=0,"",IF(COUNTIF($AL$8:$AL$32,1409)=1,INDEX(Res_Codigo,MATCH(1409,$AL$8:$AL$32,0)),COUNTIF($AL$8:$AL$32,1409)&amp;"×")))</f>
        <v/>
      </c>
      <c r="R30" s="62" t="str">
        <f>IF(OR(Var_N&lt;2,SUM(Res_Motricidad)=0),"",IF(COUNTIF($AL$8:$AL$32,1509)=0,"",IF(COUNTIF($AL$8:$AL$32,1509)=1,INDEX(Res_Codigo,MATCH(1509,$AL$8:$AL$32,0)),COUNTIF($AL$8:$AL$32,1509)&amp;"×")))</f>
        <v/>
      </c>
      <c r="S30" s="62" t="str">
        <f>IF(OR(Var_N&lt;2,SUM(Res_Motricidad)=0),"",IF(COUNTIF($AL$8:$AL$32,1609)=0,"",IF(COUNTIF($AL$8:$AL$32,1609)=1,INDEX(Res_Codigo,MATCH(1609,$AL$8:$AL$32,0)),COUNTIF($AL$8:$AL$32,1609)&amp;"×")))</f>
        <v/>
      </c>
      <c r="T30" s="62" t="str">
        <f>IF(OR(Var_N&lt;2,SUM(Res_Motricidad)=0),"",IF(COUNTIF($AL$8:$AL$32,1709)=0,"",IF(COUNTIF($AL$8:$AL$32,1709)=1,INDEX(Res_Codigo,MATCH(1709,$AL$8:$AL$32,0)),COUNTIF($AL$8:$AL$32,1709)&amp;"×")))</f>
        <v/>
      </c>
      <c r="AJ30" s="50">
        <f ca="1">IF(23&gt;Var_N,"",COUNTIF(Res_Motricidad,"&gt;"&amp;INDEX(Res_Motricidad,23))+COUNTIF(OFFSET(Res_Motricidad,0,0,23,1),INDEX(Res_Motricidad,23)))</f>
        <v>23</v>
      </c>
      <c r="AK30" s="50">
        <f ca="1">IF(23&gt;Var_N,"",COUNTIF(Res_Dependencia,"&gt;"&amp;INDEX(Res_Dependencia,23))+COUNTIF(OFFSET(Res_Dependencia,0,0,23,1),INDEX(Res_Dependencia,23)))</f>
        <v>23</v>
      </c>
      <c r="AL30" s="50" t="e">
        <f>IF(23&gt;Var_N,"",MAX(0,MIN(18-1,INT(INDEX(Res_Dependencia,23)/MAX(1,MAX(Res_Dependencia))*18)))*100+MAX(0,MIN(12-1,12-1-INT(INDEX(Res_Motricidad,23)/MAX(1,MAX(Res_Motricidad))*12))))</f>
        <v>#VALUE!</v>
      </c>
      <c r="AM30" s="50">
        <f ca="1">IF(23&gt;Var_N,"",COUNTIF(Ind_Motricidad,"&gt;"&amp;INDEX(Ind_Motricidad,23))+COUNTIF(OFFSET(Ind_Motricidad,0,0,23,1),INDEX(Ind_Motricidad,23)))</f>
        <v>23</v>
      </c>
      <c r="AN30" s="50" t="e">
        <f>IF(23&gt;Var_N,0,IF(INDEX(Res_RangoMot,23)-INDEX(Ind_RangoMot,23)&gt;=2,1,0))</f>
        <v>#VALUE!</v>
      </c>
    </row>
    <row r="31" spans="2:40" ht="15" customHeight="1" x14ac:dyDescent="0.2">
      <c r="C31" s="64" t="str">
        <f>IF(OR(Var_N&lt;2,SUM(Res_Motricidad)=0),"",IF(COUNTIF($AL$8:$AL$32,10)=0,"",IF(COUNTIF($AL$8:$AL$32,10)=1,INDEX(Res_Codigo,MATCH(10,$AL$8:$AL$32,0)),COUNTIF($AL$8:$AL$32,10)&amp;"×")))</f>
        <v/>
      </c>
      <c r="D31" s="61" t="str">
        <f>IF(OR(Var_N&lt;2,SUM(Res_Motricidad)=0),"",IF(COUNTIF($AL$8:$AL$32,110)=0,"",IF(COUNTIF($AL$8:$AL$32,110)=1,INDEX(Res_Codigo,MATCH(110,$AL$8:$AL$32,0)),COUNTIF($AL$8:$AL$32,110)&amp;"×")))</f>
        <v/>
      </c>
      <c r="E31" s="61" t="str">
        <f>IF(OR(Var_N&lt;2,SUM(Res_Motricidad)=0),"",IF(COUNTIF($AL$8:$AL$32,210)=0,"",IF(COUNTIF($AL$8:$AL$32,210)=1,INDEX(Res_Codigo,MATCH(210,$AL$8:$AL$32,0)),COUNTIF($AL$8:$AL$32,210)&amp;"×")))</f>
        <v/>
      </c>
      <c r="F31" s="61" t="str">
        <f>IF(OR(Var_N&lt;2,SUM(Res_Motricidad)=0),"",IF(COUNTIF($AL$8:$AL$32,310)=0,"",IF(COUNTIF($AL$8:$AL$32,310)=1,INDEX(Res_Codigo,MATCH(310,$AL$8:$AL$32,0)),COUNTIF($AL$8:$AL$32,310)&amp;"×")))</f>
        <v/>
      </c>
      <c r="G31" s="61" t="str">
        <f>IF(OR(Var_N&lt;2,SUM(Res_Motricidad)=0),"",IF(COUNTIF($AL$8:$AL$32,410)=0,"",IF(COUNTIF($AL$8:$AL$32,410)=1,INDEX(Res_Codigo,MATCH(410,$AL$8:$AL$32,0)),COUNTIF($AL$8:$AL$32,410)&amp;"×")))</f>
        <v/>
      </c>
      <c r="H31" s="61" t="str">
        <f>IF(OR(Var_N&lt;2,SUM(Res_Motricidad)=0),"",IF(COUNTIF($AL$8:$AL$32,510)=0,"",IF(COUNTIF($AL$8:$AL$32,510)=1,INDEX(Res_Codigo,MATCH(510,$AL$8:$AL$32,0)),COUNTIF($AL$8:$AL$32,510)&amp;"×")))</f>
        <v/>
      </c>
      <c r="I31" s="61" t="str">
        <f>IF(OR(Var_N&lt;2,SUM(Res_Motricidad)=0),"",IF(COUNTIF($AL$8:$AL$32,610)=0,"",IF(COUNTIF($AL$8:$AL$32,610)=1,INDEX(Res_Codigo,MATCH(610,$AL$8:$AL$32,0)),COUNTIF($AL$8:$AL$32,610)&amp;"×")))</f>
        <v/>
      </c>
      <c r="J31" s="61" t="str">
        <f>IF(OR(Var_N&lt;2,SUM(Res_Motricidad)=0),"",IF(COUNTIF($AL$8:$AL$32,710)=0,"",IF(COUNTIF($AL$8:$AL$32,710)=1,INDEX(Res_Codigo,MATCH(710,$AL$8:$AL$32,0)),COUNTIF($AL$8:$AL$32,710)&amp;"×")))</f>
        <v/>
      </c>
      <c r="K31" s="61" t="str">
        <f>IF(OR(Var_N&lt;2,SUM(Res_Motricidad)=0),"",IF(COUNTIF($AL$8:$AL$32,810)=0,"",IF(COUNTIF($AL$8:$AL$32,810)=1,INDEX(Res_Codigo,MATCH(810,$AL$8:$AL$32,0)),COUNTIF($AL$8:$AL$32,810)&amp;"×")))</f>
        <v/>
      </c>
      <c r="L31" s="69" t="str">
        <f>IF(OR(Var_N&lt;2,SUM(Res_Motricidad)=0),"",IF(COUNTIF($AL$8:$AL$32,910)=0,"",IF(COUNTIF($AL$8:$AL$32,910)=1,INDEX(Res_Codigo,MATCH(910,$AL$8:$AL$32,0)),COUNTIF($AL$8:$AL$32,910)&amp;"×")))</f>
        <v/>
      </c>
      <c r="M31" s="62" t="str">
        <f>IF(OR(Var_N&lt;2,SUM(Res_Motricidad)=0),"",IF(COUNTIF($AL$8:$AL$32,1010)=0,"",IF(COUNTIF($AL$8:$AL$32,1010)=1,INDEX(Res_Codigo,MATCH(1010,$AL$8:$AL$32,0)),COUNTIF($AL$8:$AL$32,1010)&amp;"×")))</f>
        <v/>
      </c>
      <c r="N31" s="62" t="str">
        <f>IF(OR(Var_N&lt;2,SUM(Res_Motricidad)=0),"",IF(COUNTIF($AL$8:$AL$32,1110)=0,"",IF(COUNTIF($AL$8:$AL$32,1110)=1,INDEX(Res_Codigo,MATCH(1110,$AL$8:$AL$32,0)),COUNTIF($AL$8:$AL$32,1110)&amp;"×")))</f>
        <v/>
      </c>
      <c r="O31" s="62" t="str">
        <f>IF(OR(Var_N&lt;2,SUM(Res_Motricidad)=0),"",IF(COUNTIF($AL$8:$AL$32,1210)=0,"",IF(COUNTIF($AL$8:$AL$32,1210)=1,INDEX(Res_Codigo,MATCH(1210,$AL$8:$AL$32,0)),COUNTIF($AL$8:$AL$32,1210)&amp;"×")))</f>
        <v/>
      </c>
      <c r="P31" s="62" t="str">
        <f>IF(OR(Var_N&lt;2,SUM(Res_Motricidad)=0),"",IF(COUNTIF($AL$8:$AL$32,1310)=0,"",IF(COUNTIF($AL$8:$AL$32,1310)=1,INDEX(Res_Codigo,MATCH(1310,$AL$8:$AL$32,0)),COUNTIF($AL$8:$AL$32,1310)&amp;"×")))</f>
        <v/>
      </c>
      <c r="Q31" s="62" t="str">
        <f>IF(OR(Var_N&lt;2,SUM(Res_Motricidad)=0),"",IF(COUNTIF($AL$8:$AL$32,1410)=0,"",IF(COUNTIF($AL$8:$AL$32,1410)=1,INDEX(Res_Codigo,MATCH(1410,$AL$8:$AL$32,0)),COUNTIF($AL$8:$AL$32,1410)&amp;"×")))</f>
        <v/>
      </c>
      <c r="R31" s="62" t="str">
        <f>IF(OR(Var_N&lt;2,SUM(Res_Motricidad)=0),"",IF(COUNTIF($AL$8:$AL$32,1510)=0,"",IF(COUNTIF($AL$8:$AL$32,1510)=1,INDEX(Res_Codigo,MATCH(1510,$AL$8:$AL$32,0)),COUNTIF($AL$8:$AL$32,1510)&amp;"×")))</f>
        <v/>
      </c>
      <c r="S31" s="62" t="str">
        <f>IF(OR(Var_N&lt;2,SUM(Res_Motricidad)=0),"",IF(COUNTIF($AL$8:$AL$32,1610)=0,"",IF(COUNTIF($AL$8:$AL$32,1610)=1,INDEX(Res_Codigo,MATCH(1610,$AL$8:$AL$32,0)),COUNTIF($AL$8:$AL$32,1610)&amp;"×")))</f>
        <v/>
      </c>
      <c r="T31" s="62" t="str">
        <f>IF(OR(Var_N&lt;2,SUM(Res_Motricidad)=0),"",IF(COUNTIF($AL$8:$AL$32,1710)=0,"",IF(COUNTIF($AL$8:$AL$32,1710)=1,INDEX(Res_Codigo,MATCH(1710,$AL$8:$AL$32,0)),COUNTIF($AL$8:$AL$32,1710)&amp;"×")))</f>
        <v/>
      </c>
      <c r="AJ31" s="50">
        <f ca="1">IF(24&gt;Var_N,"",COUNTIF(Res_Motricidad,"&gt;"&amp;INDEX(Res_Motricidad,24))+COUNTIF(OFFSET(Res_Motricidad,0,0,24,1),INDEX(Res_Motricidad,24)))</f>
        <v>24</v>
      </c>
      <c r="AK31" s="50">
        <f ca="1">IF(24&gt;Var_N,"",COUNTIF(Res_Dependencia,"&gt;"&amp;INDEX(Res_Dependencia,24))+COUNTIF(OFFSET(Res_Dependencia,0,0,24,1),INDEX(Res_Dependencia,24)))</f>
        <v>24</v>
      </c>
      <c r="AL31" s="50" t="e">
        <f>IF(24&gt;Var_N,"",MAX(0,MIN(18-1,INT(INDEX(Res_Dependencia,24)/MAX(1,MAX(Res_Dependencia))*18)))*100+MAX(0,MIN(12-1,12-1-INT(INDEX(Res_Motricidad,24)/MAX(1,MAX(Res_Motricidad))*12))))</f>
        <v>#VALUE!</v>
      </c>
      <c r="AM31" s="50">
        <f ca="1">IF(24&gt;Var_N,"",COUNTIF(Ind_Motricidad,"&gt;"&amp;INDEX(Ind_Motricidad,24))+COUNTIF(OFFSET(Ind_Motricidad,0,0,24,1),INDEX(Ind_Motricidad,24)))</f>
        <v>24</v>
      </c>
      <c r="AN31" s="50" t="e">
        <f>IF(24&gt;Var_N,0,IF(INDEX(Res_RangoMot,24)-INDEX(Ind_RangoMot,24)&gt;=2,1,0))</f>
        <v>#VALUE!</v>
      </c>
    </row>
    <row r="32" spans="2:40" ht="15" customHeight="1" x14ac:dyDescent="0.2">
      <c r="C32" s="67" t="str">
        <f>IF(OR(Var_N&lt;2,SUM(Res_Motricidad)=0),"",IF(COUNTIF($AL$8:$AL$32,11)=0,"",IF(COUNTIF($AL$8:$AL$32,11)=1,INDEX(Res_Codigo,MATCH(11,$AL$8:$AL$32,0)),COUNTIF($AL$8:$AL$32,11)&amp;"×")))</f>
        <v/>
      </c>
      <c r="D32" s="65" t="str">
        <f>IF(OR(Var_N&lt;2,SUM(Res_Motricidad)=0),"",IF(COUNTIF($AL$8:$AL$32,111)=0,"",IF(COUNTIF($AL$8:$AL$32,111)=1,INDEX(Res_Codigo,MATCH(111,$AL$8:$AL$32,0)),COUNTIF($AL$8:$AL$32,111)&amp;"×")))</f>
        <v/>
      </c>
      <c r="E32" s="65" t="str">
        <f>IF(OR(Var_N&lt;2,SUM(Res_Motricidad)=0),"",IF(COUNTIF($AL$8:$AL$32,211)=0,"",IF(COUNTIF($AL$8:$AL$32,211)=1,INDEX(Res_Codigo,MATCH(211,$AL$8:$AL$32,0)),COUNTIF($AL$8:$AL$32,211)&amp;"×")))</f>
        <v/>
      </c>
      <c r="F32" s="65" t="str">
        <f>IF(OR(Var_N&lt;2,SUM(Res_Motricidad)=0),"",IF(COUNTIF($AL$8:$AL$32,311)=0,"",IF(COUNTIF($AL$8:$AL$32,311)=1,INDEX(Res_Codigo,MATCH(311,$AL$8:$AL$32,0)),COUNTIF($AL$8:$AL$32,311)&amp;"×")))</f>
        <v/>
      </c>
      <c r="G32" s="65" t="str">
        <f>IF(OR(Var_N&lt;2,SUM(Res_Motricidad)=0),"",IF(COUNTIF($AL$8:$AL$32,411)=0,"",IF(COUNTIF($AL$8:$AL$32,411)=1,INDEX(Res_Codigo,MATCH(411,$AL$8:$AL$32,0)),COUNTIF($AL$8:$AL$32,411)&amp;"×")))</f>
        <v/>
      </c>
      <c r="H32" s="65" t="str">
        <f>IF(OR(Var_N&lt;2,SUM(Res_Motricidad)=0),"",IF(COUNTIF($AL$8:$AL$32,511)=0,"",IF(COUNTIF($AL$8:$AL$32,511)=1,INDEX(Res_Codigo,MATCH(511,$AL$8:$AL$32,0)),COUNTIF($AL$8:$AL$32,511)&amp;"×")))</f>
        <v/>
      </c>
      <c r="I32" s="65" t="str">
        <f>IF(OR(Var_N&lt;2,SUM(Res_Motricidad)=0),"",IF(COUNTIF($AL$8:$AL$32,611)=0,"",IF(COUNTIF($AL$8:$AL$32,611)=1,INDEX(Res_Codigo,MATCH(611,$AL$8:$AL$32,0)),COUNTIF($AL$8:$AL$32,611)&amp;"×")))</f>
        <v/>
      </c>
      <c r="J32" s="65" t="str">
        <f>IF(OR(Var_N&lt;2,SUM(Res_Motricidad)=0),"",IF(COUNTIF($AL$8:$AL$32,711)=0,"",IF(COUNTIF($AL$8:$AL$32,711)=1,INDEX(Res_Codigo,MATCH(711,$AL$8:$AL$32,0)),COUNTIF($AL$8:$AL$32,711)&amp;"×")))</f>
        <v/>
      </c>
      <c r="K32" s="65" t="str">
        <f>IF(OR(Var_N&lt;2,SUM(Res_Motricidad)=0),"",IF(COUNTIF($AL$8:$AL$32,811)=0,"",IF(COUNTIF($AL$8:$AL$32,811)=1,INDEX(Res_Codigo,MATCH(811,$AL$8:$AL$32,0)),COUNTIF($AL$8:$AL$32,811)&amp;"×")))</f>
        <v/>
      </c>
      <c r="L32" s="66" t="str">
        <f>IF(OR(Var_N&lt;2,SUM(Res_Motricidad)=0),"",IF(COUNTIF($AL$8:$AL$32,911)=0,"",IF(COUNTIF($AL$8:$AL$32,911)=1,INDEX(Res_Codigo,MATCH(911,$AL$8:$AL$32,0)),COUNTIF($AL$8:$AL$32,911)&amp;"×")))</f>
        <v/>
      </c>
      <c r="M32" s="66" t="str">
        <f>IF(OR(Var_N&lt;2,SUM(Res_Motricidad)=0),"",IF(COUNTIF($AL$8:$AL$32,1011)=0,"",IF(COUNTIF($AL$8:$AL$32,1011)=1,INDEX(Res_Codigo,MATCH(1011,$AL$8:$AL$32,0)),COUNTIF($AL$8:$AL$32,1011)&amp;"×")))</f>
        <v/>
      </c>
      <c r="N32" s="66" t="str">
        <f>IF(OR(Var_N&lt;2,SUM(Res_Motricidad)=0),"",IF(COUNTIF($AL$8:$AL$32,1111)=0,"",IF(COUNTIF($AL$8:$AL$32,1111)=1,INDEX(Res_Codigo,MATCH(1111,$AL$8:$AL$32,0)),COUNTIF($AL$8:$AL$32,1111)&amp;"×")))</f>
        <v/>
      </c>
      <c r="O32" s="66" t="str">
        <f>IF(OR(Var_N&lt;2,SUM(Res_Motricidad)=0),"",IF(COUNTIF($AL$8:$AL$32,1211)=0,"",IF(COUNTIF($AL$8:$AL$32,1211)=1,INDEX(Res_Codigo,MATCH(1211,$AL$8:$AL$32,0)),COUNTIF($AL$8:$AL$32,1211)&amp;"×")))</f>
        <v/>
      </c>
      <c r="P32" s="66" t="str">
        <f>IF(OR(Var_N&lt;2,SUM(Res_Motricidad)=0),"",IF(COUNTIF($AL$8:$AL$32,1311)=0,"",IF(COUNTIF($AL$8:$AL$32,1311)=1,INDEX(Res_Codigo,MATCH(1311,$AL$8:$AL$32,0)),COUNTIF($AL$8:$AL$32,1311)&amp;"×")))</f>
        <v/>
      </c>
      <c r="Q32" s="66" t="str">
        <f>IF(OR(Var_N&lt;2,SUM(Res_Motricidad)=0),"",IF(COUNTIF($AL$8:$AL$32,1411)=0,"",IF(COUNTIF($AL$8:$AL$32,1411)=1,INDEX(Res_Codigo,MATCH(1411,$AL$8:$AL$32,0)),COUNTIF($AL$8:$AL$32,1411)&amp;"×")))</f>
        <v/>
      </c>
      <c r="R32" s="66" t="str">
        <f>IF(OR(Var_N&lt;2,SUM(Res_Motricidad)=0),"",IF(COUNTIF($AL$8:$AL$32,1511)=0,"",IF(COUNTIF($AL$8:$AL$32,1511)=1,INDEX(Res_Codigo,MATCH(1511,$AL$8:$AL$32,0)),COUNTIF($AL$8:$AL$32,1511)&amp;"×")))</f>
        <v/>
      </c>
      <c r="S32" s="66" t="str">
        <f>IF(OR(Var_N&lt;2,SUM(Res_Motricidad)=0),"",IF(COUNTIF($AL$8:$AL$32,1611)=0,"",IF(COUNTIF($AL$8:$AL$32,1611)=1,INDEX(Res_Codigo,MATCH(1611,$AL$8:$AL$32,0)),COUNTIF($AL$8:$AL$32,1611)&amp;"×")))</f>
        <v/>
      </c>
      <c r="T32" s="66" t="str">
        <f>IF(OR(Var_N&lt;2,SUM(Res_Motricidad)=0),"",IF(COUNTIF($AL$8:$AL$32,1711)=0,"",IF(COUNTIF($AL$8:$AL$32,1711)=1,INDEX(Res_Codigo,MATCH(1711,$AL$8:$AL$32,0)),COUNTIF($AL$8:$AL$32,1711)&amp;"×")))</f>
        <v/>
      </c>
      <c r="AJ32" s="50">
        <f ca="1">IF(25&gt;Var_N,"",COUNTIF(Res_Motricidad,"&gt;"&amp;INDEX(Res_Motricidad,25))+COUNTIF(OFFSET(Res_Motricidad,0,0,25,1),INDEX(Res_Motricidad,25)))</f>
        <v>25</v>
      </c>
      <c r="AK32" s="50">
        <f ca="1">IF(25&gt;Var_N,"",COUNTIF(Res_Dependencia,"&gt;"&amp;INDEX(Res_Dependencia,25))+COUNTIF(OFFSET(Res_Dependencia,0,0,25,1),INDEX(Res_Dependencia,25)))</f>
        <v>25</v>
      </c>
      <c r="AL32" s="50" t="e">
        <f>IF(25&gt;Var_N,"",MAX(0,MIN(18-1,INT(INDEX(Res_Dependencia,25)/MAX(1,MAX(Res_Dependencia))*18)))*100+MAX(0,MIN(12-1,12-1-INT(INDEX(Res_Motricidad,25)/MAX(1,MAX(Res_Motricidad))*12))))</f>
        <v>#VALUE!</v>
      </c>
      <c r="AM32" s="50">
        <f ca="1">IF(25&gt;Var_N,"",COUNTIF(Ind_Motricidad,"&gt;"&amp;INDEX(Ind_Motricidad,25))+COUNTIF(OFFSET(Ind_Motricidad,0,0,25,1),INDEX(Ind_Motricidad,25)))</f>
        <v>25</v>
      </c>
      <c r="AN32" s="50" t="e">
        <f>IF(25&gt;Var_N,0,IF(INDEX(Res_RangoMot,25)-INDEX(Ind_RangoMot,25)&gt;=2,1,0))</f>
        <v>#VALUE!</v>
      </c>
    </row>
    <row r="33" spans="2:31" ht="18" customHeight="1" x14ac:dyDescent="0.2">
      <c r="C33" s="110" t="s">
        <v>239</v>
      </c>
      <c r="D33" s="75"/>
      <c r="E33" s="75"/>
      <c r="F33" s="75"/>
      <c r="G33" s="75"/>
      <c r="H33" s="75"/>
      <c r="I33" s="75"/>
      <c r="J33" s="75"/>
      <c r="K33" s="75"/>
      <c r="L33" s="110" t="s">
        <v>240</v>
      </c>
      <c r="M33" s="75"/>
      <c r="N33" s="75"/>
      <c r="O33" s="75"/>
      <c r="P33" s="75"/>
      <c r="Q33" s="75"/>
      <c r="R33" s="111" t="s">
        <v>241</v>
      </c>
      <c r="S33" s="75"/>
      <c r="T33" s="75"/>
      <c r="U33" s="75"/>
      <c r="V33" s="75"/>
      <c r="W33" s="75"/>
      <c r="X33" s="75"/>
      <c r="Y33" s="75"/>
      <c r="Z33" s="75"/>
      <c r="AA33" s="75"/>
      <c r="AB33" s="75"/>
      <c r="AC33" s="75"/>
      <c r="AD33" s="75"/>
      <c r="AE33" s="75"/>
    </row>
    <row r="35" spans="2:31" x14ac:dyDescent="0.2">
      <c r="B35" s="77" t="s">
        <v>242</v>
      </c>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row>
    <row r="36" spans="2:31" ht="24" customHeight="1" x14ac:dyDescent="0.2">
      <c r="B36" s="84" t="s">
        <v>243</v>
      </c>
      <c r="C36" s="75"/>
      <c r="D36" s="75"/>
      <c r="E36" s="75"/>
      <c r="F36" s="75"/>
      <c r="G36" s="75"/>
      <c r="H36" s="112">
        <f>IF(Var_N&lt;2,"",COUNTIF(Res_Tipologia,"1 · Entrada / determinante"))</f>
        <v>0</v>
      </c>
      <c r="I36" s="75"/>
      <c r="J36" s="85" t="s">
        <v>244</v>
      </c>
      <c r="K36" s="75"/>
      <c r="L36" s="75"/>
      <c r="M36" s="75"/>
      <c r="N36" s="75"/>
      <c r="O36" s="75"/>
      <c r="P36" s="75"/>
      <c r="Q36" s="75"/>
      <c r="R36" s="75"/>
      <c r="S36" s="75"/>
      <c r="T36" s="75"/>
      <c r="U36" s="75"/>
      <c r="V36" s="75"/>
      <c r="W36" s="75"/>
      <c r="X36" s="75"/>
      <c r="Y36" s="75"/>
      <c r="Z36" s="75"/>
      <c r="AA36" s="75"/>
      <c r="AB36" s="75"/>
      <c r="AC36" s="75"/>
      <c r="AD36" s="75"/>
      <c r="AE36" s="75"/>
    </row>
    <row r="37" spans="2:31" ht="24" customHeight="1" x14ac:dyDescent="0.2">
      <c r="B37" s="84" t="s">
        <v>245</v>
      </c>
      <c r="C37" s="75"/>
      <c r="D37" s="75"/>
      <c r="E37" s="75"/>
      <c r="F37" s="75"/>
      <c r="G37" s="75"/>
      <c r="H37" s="112">
        <f>IF(Var_N&lt;2,"",COUNTIF(Res_Tipologia,"2 · Intermedia / de enlace"))</f>
        <v>0</v>
      </c>
      <c r="I37" s="75"/>
      <c r="J37" s="85" t="s">
        <v>246</v>
      </c>
      <c r="K37" s="75"/>
      <c r="L37" s="75"/>
      <c r="M37" s="75"/>
      <c r="N37" s="75"/>
      <c r="O37" s="75"/>
      <c r="P37" s="75"/>
      <c r="Q37" s="75"/>
      <c r="R37" s="75"/>
      <c r="S37" s="75"/>
      <c r="T37" s="75"/>
      <c r="U37" s="75"/>
      <c r="V37" s="75"/>
      <c r="W37" s="75"/>
      <c r="X37" s="75"/>
      <c r="Y37" s="75"/>
      <c r="Z37" s="75"/>
      <c r="AA37" s="75"/>
      <c r="AB37" s="75"/>
      <c r="AC37" s="75"/>
      <c r="AD37" s="75"/>
      <c r="AE37" s="75"/>
    </row>
    <row r="38" spans="2:31" ht="24" customHeight="1" x14ac:dyDescent="0.2">
      <c r="B38" s="84" t="s">
        <v>107</v>
      </c>
      <c r="C38" s="75"/>
      <c r="D38" s="75"/>
      <c r="E38" s="75"/>
      <c r="F38" s="75"/>
      <c r="G38" s="75"/>
      <c r="H38" s="112">
        <f>IF(Var_N&lt;2,"",COUNTIF(Res_Tipologia,"3 · Resultado"))</f>
        <v>0</v>
      </c>
      <c r="I38" s="75"/>
      <c r="J38" s="85" t="s">
        <v>247</v>
      </c>
      <c r="K38" s="75"/>
      <c r="L38" s="75"/>
      <c r="M38" s="75"/>
      <c r="N38" s="75"/>
      <c r="O38" s="75"/>
      <c r="P38" s="75"/>
      <c r="Q38" s="75"/>
      <c r="R38" s="75"/>
      <c r="S38" s="75"/>
      <c r="T38" s="75"/>
      <c r="U38" s="75"/>
      <c r="V38" s="75"/>
      <c r="W38" s="75"/>
      <c r="X38" s="75"/>
      <c r="Y38" s="75"/>
      <c r="Z38" s="75"/>
      <c r="AA38" s="75"/>
      <c r="AB38" s="75"/>
      <c r="AC38" s="75"/>
      <c r="AD38" s="75"/>
      <c r="AE38" s="75"/>
    </row>
    <row r="39" spans="2:31" ht="24" customHeight="1" x14ac:dyDescent="0.2">
      <c r="B39" s="84" t="s">
        <v>248</v>
      </c>
      <c r="C39" s="75"/>
      <c r="D39" s="75"/>
      <c r="E39" s="75"/>
      <c r="F39" s="75"/>
      <c r="G39" s="75"/>
      <c r="H39" s="112">
        <f>IF(Var_N&lt;2,"",COUNTIF(Res_Tipologia,"4 · Excluida / autónoma"))</f>
        <v>0</v>
      </c>
      <c r="I39" s="75"/>
      <c r="J39" s="85" t="s">
        <v>249</v>
      </c>
      <c r="K39" s="75"/>
      <c r="L39" s="75"/>
      <c r="M39" s="75"/>
      <c r="N39" s="75"/>
      <c r="O39" s="75"/>
      <c r="P39" s="75"/>
      <c r="Q39" s="75"/>
      <c r="R39" s="75"/>
      <c r="S39" s="75"/>
      <c r="T39" s="75"/>
      <c r="U39" s="75"/>
      <c r="V39" s="75"/>
      <c r="W39" s="75"/>
      <c r="X39" s="75"/>
      <c r="Y39" s="75"/>
      <c r="Z39" s="75"/>
      <c r="AA39" s="75"/>
      <c r="AB39" s="75"/>
      <c r="AC39" s="75"/>
      <c r="AD39" s="75"/>
      <c r="AE39" s="75"/>
    </row>
    <row r="40" spans="2:31" ht="24" customHeight="1" x14ac:dyDescent="0.2">
      <c r="B40" s="84" t="s">
        <v>250</v>
      </c>
      <c r="C40" s="75"/>
      <c r="D40" s="75"/>
      <c r="E40" s="75"/>
      <c r="F40" s="75"/>
      <c r="G40" s="75"/>
      <c r="H40" s="112">
        <f>IF(Var_N&lt;2,"",COUNTIF(Res_Tipologia,"5 · Pelotón (no concluyente)"))</f>
        <v>0</v>
      </c>
      <c r="I40" s="75"/>
      <c r="J40" s="85" t="s">
        <v>251</v>
      </c>
      <c r="K40" s="75"/>
      <c r="L40" s="75"/>
      <c r="M40" s="75"/>
      <c r="N40" s="75"/>
      <c r="O40" s="75"/>
      <c r="P40" s="75"/>
      <c r="Q40" s="75"/>
      <c r="R40" s="75"/>
      <c r="S40" s="75"/>
      <c r="T40" s="75"/>
      <c r="U40" s="75"/>
      <c r="V40" s="75"/>
      <c r="W40" s="75"/>
      <c r="X40" s="75"/>
      <c r="Y40" s="75"/>
      <c r="Z40" s="75"/>
      <c r="AA40" s="75"/>
      <c r="AB40" s="75"/>
      <c r="AC40" s="75"/>
      <c r="AD40" s="75"/>
      <c r="AE40" s="75"/>
    </row>
    <row r="42" spans="2:31" ht="20" customHeight="1" x14ac:dyDescent="0.2">
      <c r="B42" s="77" t="s">
        <v>252</v>
      </c>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row>
    <row r="43" spans="2:31" ht="20" customHeight="1" x14ac:dyDescent="0.2">
      <c r="B43" s="113" t="s">
        <v>253</v>
      </c>
      <c r="C43" s="75"/>
      <c r="D43" s="75"/>
      <c r="E43" s="75"/>
      <c r="F43" s="75"/>
      <c r="G43" s="75"/>
      <c r="H43" s="75"/>
      <c r="I43" s="75"/>
      <c r="J43" s="75"/>
      <c r="K43" s="75"/>
      <c r="L43" s="75"/>
      <c r="M43" s="75"/>
      <c r="N43" s="75"/>
      <c r="O43" s="75"/>
      <c r="Q43" s="113" t="s">
        <v>254</v>
      </c>
      <c r="R43" s="75"/>
      <c r="S43" s="75"/>
      <c r="T43" s="75"/>
      <c r="U43" s="75"/>
      <c r="V43" s="75"/>
      <c r="W43" s="75"/>
      <c r="X43" s="75"/>
      <c r="Y43" s="75"/>
      <c r="Z43" s="75"/>
      <c r="AA43" s="75"/>
      <c r="AB43" s="75"/>
      <c r="AC43" s="75"/>
      <c r="AD43" s="75"/>
      <c r="AE43" s="75"/>
    </row>
    <row r="44" spans="2:31" ht="20" customHeight="1" x14ac:dyDescent="0.2">
      <c r="B44" s="54">
        <f>IF(1&gt;Var_N,"",1)</f>
        <v>1</v>
      </c>
      <c r="C44" s="94" t="str">
        <f ca="1">IFERROR(INDEX(Res_Nombre,MATCH(1,$AJ$8:$AJ$32,0)),"")</f>
        <v/>
      </c>
      <c r="D44" s="75"/>
      <c r="E44" s="75"/>
      <c r="F44" s="75"/>
      <c r="G44" s="75"/>
      <c r="H44" s="75"/>
      <c r="I44" s="75"/>
      <c r="J44" s="75"/>
      <c r="K44" s="75"/>
      <c r="L44" s="75"/>
      <c r="M44" s="112" t="str">
        <f ca="1">IFERROR(INDEX(Res_Motricidad,MATCH(1,$AJ$8:$AJ$32,0)),"")</f>
        <v/>
      </c>
      <c r="N44" s="75"/>
      <c r="O44" s="75"/>
      <c r="Q44" s="54">
        <f>IF(1&gt;Var_N,"",1)</f>
        <v>1</v>
      </c>
      <c r="R44" s="94" t="str">
        <f ca="1">IFERROR(INDEX(Res_Nombre,MATCH(1,$AK$8:$AK$32,0)),"")</f>
        <v/>
      </c>
      <c r="S44" s="75"/>
      <c r="T44" s="75"/>
      <c r="U44" s="75"/>
      <c r="V44" s="75"/>
      <c r="W44" s="75"/>
      <c r="X44" s="75"/>
      <c r="Y44" s="75"/>
      <c r="Z44" s="75"/>
      <c r="AA44" s="75"/>
      <c r="AB44" s="112" t="str">
        <f ca="1">IFERROR(INDEX(Res_Dependencia,MATCH(1,$AK$8:$AK$32,0)),"")</f>
        <v/>
      </c>
      <c r="AC44" s="75"/>
      <c r="AD44" s="75"/>
      <c r="AE44" s="75"/>
    </row>
    <row r="45" spans="2:31" ht="20" customHeight="1" x14ac:dyDescent="0.2">
      <c r="B45" s="54">
        <f>IF(2&gt;Var_N,"",2)</f>
        <v>2</v>
      </c>
      <c r="C45" s="94" t="str">
        <f ca="1">IFERROR(INDEX(Res_Nombre,MATCH(2,$AJ$8:$AJ$32,0)),"")</f>
        <v/>
      </c>
      <c r="D45" s="75"/>
      <c r="E45" s="75"/>
      <c r="F45" s="75"/>
      <c r="G45" s="75"/>
      <c r="H45" s="75"/>
      <c r="I45" s="75"/>
      <c r="J45" s="75"/>
      <c r="K45" s="75"/>
      <c r="L45" s="75"/>
      <c r="M45" s="112" t="str">
        <f ca="1">IFERROR(INDEX(Res_Motricidad,MATCH(2,$AJ$8:$AJ$32,0)),"")</f>
        <v/>
      </c>
      <c r="N45" s="75"/>
      <c r="O45" s="75"/>
      <c r="Q45" s="54">
        <f>IF(2&gt;Var_N,"",2)</f>
        <v>2</v>
      </c>
      <c r="R45" s="94" t="str">
        <f ca="1">IFERROR(INDEX(Res_Nombre,MATCH(2,$AK$8:$AK$32,0)),"")</f>
        <v/>
      </c>
      <c r="S45" s="75"/>
      <c r="T45" s="75"/>
      <c r="U45" s="75"/>
      <c r="V45" s="75"/>
      <c r="W45" s="75"/>
      <c r="X45" s="75"/>
      <c r="Y45" s="75"/>
      <c r="Z45" s="75"/>
      <c r="AA45" s="75"/>
      <c r="AB45" s="112" t="str">
        <f ca="1">IFERROR(INDEX(Res_Dependencia,MATCH(2,$AK$8:$AK$32,0)),"")</f>
        <v/>
      </c>
      <c r="AC45" s="75"/>
      <c r="AD45" s="75"/>
      <c r="AE45" s="75"/>
    </row>
    <row r="46" spans="2:31" ht="20" customHeight="1" x14ac:dyDescent="0.2">
      <c r="B46" s="54">
        <f>IF(3&gt;Var_N,"",3)</f>
        <v>3</v>
      </c>
      <c r="C46" s="94" t="str">
        <f ca="1">IFERROR(INDEX(Res_Nombre,MATCH(3,$AJ$8:$AJ$32,0)),"")</f>
        <v/>
      </c>
      <c r="D46" s="75"/>
      <c r="E46" s="75"/>
      <c r="F46" s="75"/>
      <c r="G46" s="75"/>
      <c r="H46" s="75"/>
      <c r="I46" s="75"/>
      <c r="J46" s="75"/>
      <c r="K46" s="75"/>
      <c r="L46" s="75"/>
      <c r="M46" s="112" t="str">
        <f ca="1">IFERROR(INDEX(Res_Motricidad,MATCH(3,$AJ$8:$AJ$32,0)),"")</f>
        <v/>
      </c>
      <c r="N46" s="75"/>
      <c r="O46" s="75"/>
      <c r="Q46" s="54">
        <f>IF(3&gt;Var_N,"",3)</f>
        <v>3</v>
      </c>
      <c r="R46" s="94" t="str">
        <f ca="1">IFERROR(INDEX(Res_Nombre,MATCH(3,$AK$8:$AK$32,0)),"")</f>
        <v/>
      </c>
      <c r="S46" s="75"/>
      <c r="T46" s="75"/>
      <c r="U46" s="75"/>
      <c r="V46" s="75"/>
      <c r="W46" s="75"/>
      <c r="X46" s="75"/>
      <c r="Y46" s="75"/>
      <c r="Z46" s="75"/>
      <c r="AA46" s="75"/>
      <c r="AB46" s="112" t="str">
        <f ca="1">IFERROR(INDEX(Res_Dependencia,MATCH(3,$AK$8:$AK$32,0)),"")</f>
        <v/>
      </c>
      <c r="AC46" s="75"/>
      <c r="AD46" s="75"/>
      <c r="AE46" s="75"/>
    </row>
    <row r="47" spans="2:31" ht="20" customHeight="1" x14ac:dyDescent="0.2">
      <c r="B47" s="54">
        <f>IF(4&gt;Var_N,"",4)</f>
        <v>4</v>
      </c>
      <c r="C47" s="94" t="str">
        <f ca="1">IFERROR(INDEX(Res_Nombre,MATCH(4,$AJ$8:$AJ$32,0)),"")</f>
        <v/>
      </c>
      <c r="D47" s="75"/>
      <c r="E47" s="75"/>
      <c r="F47" s="75"/>
      <c r="G47" s="75"/>
      <c r="H47" s="75"/>
      <c r="I47" s="75"/>
      <c r="J47" s="75"/>
      <c r="K47" s="75"/>
      <c r="L47" s="75"/>
      <c r="M47" s="112" t="str">
        <f ca="1">IFERROR(INDEX(Res_Motricidad,MATCH(4,$AJ$8:$AJ$32,0)),"")</f>
        <v/>
      </c>
      <c r="N47" s="75"/>
      <c r="O47" s="75"/>
      <c r="Q47" s="54">
        <f>IF(4&gt;Var_N,"",4)</f>
        <v>4</v>
      </c>
      <c r="R47" s="94" t="str">
        <f ca="1">IFERROR(INDEX(Res_Nombre,MATCH(4,$AK$8:$AK$32,0)),"")</f>
        <v/>
      </c>
      <c r="S47" s="75"/>
      <c r="T47" s="75"/>
      <c r="U47" s="75"/>
      <c r="V47" s="75"/>
      <c r="W47" s="75"/>
      <c r="X47" s="75"/>
      <c r="Y47" s="75"/>
      <c r="Z47" s="75"/>
      <c r="AA47" s="75"/>
      <c r="AB47" s="112" t="str">
        <f ca="1">IFERROR(INDEX(Res_Dependencia,MATCH(4,$AK$8:$AK$32,0)),"")</f>
        <v/>
      </c>
      <c r="AC47" s="75"/>
      <c r="AD47" s="75"/>
      <c r="AE47" s="75"/>
    </row>
    <row r="48" spans="2:31" ht="20" customHeight="1" x14ac:dyDescent="0.2">
      <c r="B48" s="54">
        <f>IF(5&gt;Var_N,"",5)</f>
        <v>5</v>
      </c>
      <c r="C48" s="94" t="str">
        <f ca="1">IFERROR(INDEX(Res_Nombre,MATCH(5,$AJ$8:$AJ$32,0)),"")</f>
        <v/>
      </c>
      <c r="D48" s="75"/>
      <c r="E48" s="75"/>
      <c r="F48" s="75"/>
      <c r="G48" s="75"/>
      <c r="H48" s="75"/>
      <c r="I48" s="75"/>
      <c r="J48" s="75"/>
      <c r="K48" s="75"/>
      <c r="L48" s="75"/>
      <c r="M48" s="112" t="str">
        <f ca="1">IFERROR(INDEX(Res_Motricidad,MATCH(5,$AJ$8:$AJ$32,0)),"")</f>
        <v/>
      </c>
      <c r="N48" s="75"/>
      <c r="O48" s="75"/>
      <c r="Q48" s="54">
        <f>IF(5&gt;Var_N,"",5)</f>
        <v>5</v>
      </c>
      <c r="R48" s="94" t="str">
        <f ca="1">IFERROR(INDEX(Res_Nombre,MATCH(5,$AK$8:$AK$32,0)),"")</f>
        <v/>
      </c>
      <c r="S48" s="75"/>
      <c r="T48" s="75"/>
      <c r="U48" s="75"/>
      <c r="V48" s="75"/>
      <c r="W48" s="75"/>
      <c r="X48" s="75"/>
      <c r="Y48" s="75"/>
      <c r="Z48" s="75"/>
      <c r="AA48" s="75"/>
      <c r="AB48" s="112" t="str">
        <f ca="1">IFERROR(INDEX(Res_Dependencia,MATCH(5,$AK$8:$AK$32,0)),"")</f>
        <v/>
      </c>
      <c r="AC48" s="75"/>
      <c r="AD48" s="75"/>
      <c r="AE48" s="75"/>
    </row>
    <row r="49" spans="2:31" ht="20" customHeight="1" x14ac:dyDescent="0.2">
      <c r="B49" s="54">
        <f>IF(6&gt;Var_N,"",6)</f>
        <v>6</v>
      </c>
      <c r="C49" s="94" t="str">
        <f ca="1">IFERROR(INDEX(Res_Nombre,MATCH(6,$AJ$8:$AJ$32,0)),"")</f>
        <v/>
      </c>
      <c r="D49" s="75"/>
      <c r="E49" s="75"/>
      <c r="F49" s="75"/>
      <c r="G49" s="75"/>
      <c r="H49" s="75"/>
      <c r="I49" s="75"/>
      <c r="J49" s="75"/>
      <c r="K49" s="75"/>
      <c r="L49" s="75"/>
      <c r="M49" s="112" t="str">
        <f ca="1">IFERROR(INDEX(Res_Motricidad,MATCH(6,$AJ$8:$AJ$32,0)),"")</f>
        <v/>
      </c>
      <c r="N49" s="75"/>
      <c r="O49" s="75"/>
      <c r="Q49" s="54">
        <f>IF(6&gt;Var_N,"",6)</f>
        <v>6</v>
      </c>
      <c r="R49" s="94" t="str">
        <f ca="1">IFERROR(INDEX(Res_Nombre,MATCH(6,$AK$8:$AK$32,0)),"")</f>
        <v/>
      </c>
      <c r="S49" s="75"/>
      <c r="T49" s="75"/>
      <c r="U49" s="75"/>
      <c r="V49" s="75"/>
      <c r="W49" s="75"/>
      <c r="X49" s="75"/>
      <c r="Y49" s="75"/>
      <c r="Z49" s="75"/>
      <c r="AA49" s="75"/>
      <c r="AB49" s="112" t="str">
        <f ca="1">IFERROR(INDEX(Res_Dependencia,MATCH(6,$AK$8:$AK$32,0)),"")</f>
        <v/>
      </c>
      <c r="AC49" s="75"/>
      <c r="AD49" s="75"/>
      <c r="AE49" s="75"/>
    </row>
    <row r="51" spans="2:31" ht="20" customHeight="1" x14ac:dyDescent="0.2">
      <c r="B51" s="77" t="s">
        <v>255</v>
      </c>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row>
    <row r="52" spans="2:31" ht="32" customHeight="1" x14ac:dyDescent="0.2">
      <c r="B52" s="85" t="e">
        <f>IF(Var_N&lt;2,"",IF(SUM($AN$8:$AN$32)=0,"Ningún factor cambia de forma apreciable al encadenar las relaciones: lo que el panel declaró coincide con la influencia real.",SUM($AN$8:$AN$32)&amp;" factor(es) suben dos o más puestos al pasar de la influencia declarada a la real. Son los que el panel infravaloró."))</f>
        <v>#VALUE!</v>
      </c>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row>
    <row r="53" spans="2:31" ht="20" customHeight="1" x14ac:dyDescent="0.2">
      <c r="B53" s="113" t="s">
        <v>162</v>
      </c>
      <c r="C53" s="75"/>
      <c r="D53" s="75"/>
      <c r="E53" s="75"/>
      <c r="F53" s="75"/>
      <c r="G53" s="75"/>
      <c r="H53" s="75"/>
      <c r="I53" s="75"/>
      <c r="J53" s="75"/>
      <c r="K53" s="75"/>
      <c r="L53" s="75"/>
      <c r="M53" s="75"/>
      <c r="N53" s="114" t="s">
        <v>256</v>
      </c>
      <c r="O53" s="75"/>
      <c r="P53" s="75"/>
      <c r="Q53" s="114" t="s">
        <v>257</v>
      </c>
      <c r="R53" s="75"/>
      <c r="S53" s="75"/>
      <c r="T53" s="113" t="s">
        <v>258</v>
      </c>
      <c r="U53" s="75"/>
      <c r="V53" s="75"/>
      <c r="W53" s="75"/>
      <c r="X53" s="75"/>
      <c r="Y53" s="75"/>
      <c r="Z53" s="75"/>
      <c r="AA53" s="75"/>
      <c r="AB53" s="75"/>
      <c r="AC53" s="75"/>
      <c r="AD53" s="75"/>
      <c r="AE53" s="75"/>
    </row>
    <row r="54" spans="2:31" ht="17" customHeight="1" x14ac:dyDescent="0.2">
      <c r="B54" s="94" t="str">
        <f t="shared" ref="B54:B78" si="0">IF(ROW()-53&gt;Var_N,"",INDEX(Res_Codigo,ROW()-53)&amp;"  "&amp;INDEX(Res_Nombre,ROW()-53))</f>
        <v xml:space="preserve">  </v>
      </c>
      <c r="C54" s="75"/>
      <c r="D54" s="75"/>
      <c r="E54" s="75"/>
      <c r="F54" s="75"/>
      <c r="G54" s="75"/>
      <c r="H54" s="75"/>
      <c r="I54" s="75"/>
      <c r="J54" s="75"/>
      <c r="K54" s="75"/>
      <c r="L54" s="75"/>
      <c r="M54" s="75"/>
      <c r="N54" s="112" t="str">
        <f t="shared" ref="N54:N78" si="1">IF(ROW()-53&gt;Var_N,"",INDEX(Res_RangoMot,ROW()-53))</f>
        <v/>
      </c>
      <c r="O54" s="75"/>
      <c r="P54" s="75"/>
      <c r="Q54" s="112" t="str">
        <f t="shared" ref="Q54:Q78" si="2">IF(ROW()-53&gt;Var_N,"",INDEX(Ind_RangoMot,ROW()-53))</f>
        <v/>
      </c>
      <c r="R54" s="75"/>
      <c r="S54" s="75"/>
      <c r="T54" s="85" t="e">
        <f t="shared" ref="T54:T78" si="3">IF(ROW()-53&gt;Var_N,"",IF(INDEX(Res_RangoMot,ROW()-53)-INDEX(Ind_RangoMot,ROW()-53)&gt;=2,"Influye más de lo que el panel declaró",IF(INDEX(Ind_RangoMot,ROW()-53)-INDEX(Res_RangoMot,ROW()-53)&gt;=2,"Influye menos de lo que parecía","")))</f>
        <v>#VALUE!</v>
      </c>
      <c r="U54" s="75"/>
      <c r="V54" s="75"/>
      <c r="W54" s="75"/>
      <c r="X54" s="75"/>
      <c r="Y54" s="75"/>
      <c r="Z54" s="75"/>
      <c r="AA54" s="75"/>
      <c r="AB54" s="75"/>
      <c r="AC54" s="75"/>
      <c r="AD54" s="75"/>
      <c r="AE54" s="75"/>
    </row>
    <row r="55" spans="2:31" ht="17" customHeight="1" x14ac:dyDescent="0.2">
      <c r="B55" s="94" t="str">
        <f t="shared" si="0"/>
        <v xml:space="preserve">  </v>
      </c>
      <c r="C55" s="75"/>
      <c r="D55" s="75"/>
      <c r="E55" s="75"/>
      <c r="F55" s="75"/>
      <c r="G55" s="75"/>
      <c r="H55" s="75"/>
      <c r="I55" s="75"/>
      <c r="J55" s="75"/>
      <c r="K55" s="75"/>
      <c r="L55" s="75"/>
      <c r="M55" s="75"/>
      <c r="N55" s="112" t="str">
        <f t="shared" si="1"/>
        <v/>
      </c>
      <c r="O55" s="75"/>
      <c r="P55" s="75"/>
      <c r="Q55" s="112" t="str">
        <f t="shared" si="2"/>
        <v/>
      </c>
      <c r="R55" s="75"/>
      <c r="S55" s="75"/>
      <c r="T55" s="85" t="e">
        <f t="shared" si="3"/>
        <v>#VALUE!</v>
      </c>
      <c r="U55" s="75"/>
      <c r="V55" s="75"/>
      <c r="W55" s="75"/>
      <c r="X55" s="75"/>
      <c r="Y55" s="75"/>
      <c r="Z55" s="75"/>
      <c r="AA55" s="75"/>
      <c r="AB55" s="75"/>
      <c r="AC55" s="75"/>
      <c r="AD55" s="75"/>
      <c r="AE55" s="75"/>
    </row>
    <row r="56" spans="2:31" ht="17" customHeight="1" x14ac:dyDescent="0.2">
      <c r="B56" s="94" t="str">
        <f t="shared" si="0"/>
        <v xml:space="preserve">  </v>
      </c>
      <c r="C56" s="75"/>
      <c r="D56" s="75"/>
      <c r="E56" s="75"/>
      <c r="F56" s="75"/>
      <c r="G56" s="75"/>
      <c r="H56" s="75"/>
      <c r="I56" s="75"/>
      <c r="J56" s="75"/>
      <c r="K56" s="75"/>
      <c r="L56" s="75"/>
      <c r="M56" s="75"/>
      <c r="N56" s="112" t="str">
        <f t="shared" si="1"/>
        <v/>
      </c>
      <c r="O56" s="75"/>
      <c r="P56" s="75"/>
      <c r="Q56" s="112" t="str">
        <f t="shared" si="2"/>
        <v/>
      </c>
      <c r="R56" s="75"/>
      <c r="S56" s="75"/>
      <c r="T56" s="85" t="e">
        <f t="shared" si="3"/>
        <v>#VALUE!</v>
      </c>
      <c r="U56" s="75"/>
      <c r="V56" s="75"/>
      <c r="W56" s="75"/>
      <c r="X56" s="75"/>
      <c r="Y56" s="75"/>
      <c r="Z56" s="75"/>
      <c r="AA56" s="75"/>
      <c r="AB56" s="75"/>
      <c r="AC56" s="75"/>
      <c r="AD56" s="75"/>
      <c r="AE56" s="75"/>
    </row>
    <row r="57" spans="2:31" ht="17" customHeight="1" x14ac:dyDescent="0.2">
      <c r="B57" s="94" t="str">
        <f t="shared" si="0"/>
        <v xml:space="preserve">  </v>
      </c>
      <c r="C57" s="75"/>
      <c r="D57" s="75"/>
      <c r="E57" s="75"/>
      <c r="F57" s="75"/>
      <c r="G57" s="75"/>
      <c r="H57" s="75"/>
      <c r="I57" s="75"/>
      <c r="J57" s="75"/>
      <c r="K57" s="75"/>
      <c r="L57" s="75"/>
      <c r="M57" s="75"/>
      <c r="N57" s="112" t="str">
        <f t="shared" si="1"/>
        <v/>
      </c>
      <c r="O57" s="75"/>
      <c r="P57" s="75"/>
      <c r="Q57" s="112" t="str">
        <f t="shared" si="2"/>
        <v/>
      </c>
      <c r="R57" s="75"/>
      <c r="S57" s="75"/>
      <c r="T57" s="85" t="e">
        <f t="shared" si="3"/>
        <v>#VALUE!</v>
      </c>
      <c r="U57" s="75"/>
      <c r="V57" s="75"/>
      <c r="W57" s="75"/>
      <c r="X57" s="75"/>
      <c r="Y57" s="75"/>
      <c r="Z57" s="75"/>
      <c r="AA57" s="75"/>
      <c r="AB57" s="75"/>
      <c r="AC57" s="75"/>
      <c r="AD57" s="75"/>
      <c r="AE57" s="75"/>
    </row>
    <row r="58" spans="2:31" ht="17" customHeight="1" x14ac:dyDescent="0.2">
      <c r="B58" s="94" t="str">
        <f t="shared" si="0"/>
        <v xml:space="preserve">  </v>
      </c>
      <c r="C58" s="75"/>
      <c r="D58" s="75"/>
      <c r="E58" s="75"/>
      <c r="F58" s="75"/>
      <c r="G58" s="75"/>
      <c r="H58" s="75"/>
      <c r="I58" s="75"/>
      <c r="J58" s="75"/>
      <c r="K58" s="75"/>
      <c r="L58" s="75"/>
      <c r="M58" s="75"/>
      <c r="N58" s="112" t="str">
        <f t="shared" si="1"/>
        <v/>
      </c>
      <c r="O58" s="75"/>
      <c r="P58" s="75"/>
      <c r="Q58" s="112" t="str">
        <f t="shared" si="2"/>
        <v/>
      </c>
      <c r="R58" s="75"/>
      <c r="S58" s="75"/>
      <c r="T58" s="85" t="e">
        <f t="shared" si="3"/>
        <v>#VALUE!</v>
      </c>
      <c r="U58" s="75"/>
      <c r="V58" s="75"/>
      <c r="W58" s="75"/>
      <c r="X58" s="75"/>
      <c r="Y58" s="75"/>
      <c r="Z58" s="75"/>
      <c r="AA58" s="75"/>
      <c r="AB58" s="75"/>
      <c r="AC58" s="75"/>
      <c r="AD58" s="75"/>
      <c r="AE58" s="75"/>
    </row>
    <row r="59" spans="2:31" ht="17" customHeight="1" x14ac:dyDescent="0.2">
      <c r="B59" s="94" t="str">
        <f t="shared" si="0"/>
        <v xml:space="preserve">  </v>
      </c>
      <c r="C59" s="75"/>
      <c r="D59" s="75"/>
      <c r="E59" s="75"/>
      <c r="F59" s="75"/>
      <c r="G59" s="75"/>
      <c r="H59" s="75"/>
      <c r="I59" s="75"/>
      <c r="J59" s="75"/>
      <c r="K59" s="75"/>
      <c r="L59" s="75"/>
      <c r="M59" s="75"/>
      <c r="N59" s="112" t="str">
        <f t="shared" si="1"/>
        <v/>
      </c>
      <c r="O59" s="75"/>
      <c r="P59" s="75"/>
      <c r="Q59" s="112" t="str">
        <f t="shared" si="2"/>
        <v/>
      </c>
      <c r="R59" s="75"/>
      <c r="S59" s="75"/>
      <c r="T59" s="85" t="e">
        <f t="shared" si="3"/>
        <v>#VALUE!</v>
      </c>
      <c r="U59" s="75"/>
      <c r="V59" s="75"/>
      <c r="W59" s="75"/>
      <c r="X59" s="75"/>
      <c r="Y59" s="75"/>
      <c r="Z59" s="75"/>
      <c r="AA59" s="75"/>
      <c r="AB59" s="75"/>
      <c r="AC59" s="75"/>
      <c r="AD59" s="75"/>
      <c r="AE59" s="75"/>
    </row>
    <row r="60" spans="2:31" ht="17" customHeight="1" x14ac:dyDescent="0.2">
      <c r="B60" s="94" t="str">
        <f t="shared" si="0"/>
        <v xml:space="preserve">  </v>
      </c>
      <c r="C60" s="75"/>
      <c r="D60" s="75"/>
      <c r="E60" s="75"/>
      <c r="F60" s="75"/>
      <c r="G60" s="75"/>
      <c r="H60" s="75"/>
      <c r="I60" s="75"/>
      <c r="J60" s="75"/>
      <c r="K60" s="75"/>
      <c r="L60" s="75"/>
      <c r="M60" s="75"/>
      <c r="N60" s="112" t="str">
        <f t="shared" si="1"/>
        <v/>
      </c>
      <c r="O60" s="75"/>
      <c r="P60" s="75"/>
      <c r="Q60" s="112" t="str">
        <f t="shared" si="2"/>
        <v/>
      </c>
      <c r="R60" s="75"/>
      <c r="S60" s="75"/>
      <c r="T60" s="85" t="e">
        <f t="shared" si="3"/>
        <v>#VALUE!</v>
      </c>
      <c r="U60" s="75"/>
      <c r="V60" s="75"/>
      <c r="W60" s="75"/>
      <c r="X60" s="75"/>
      <c r="Y60" s="75"/>
      <c r="Z60" s="75"/>
      <c r="AA60" s="75"/>
      <c r="AB60" s="75"/>
      <c r="AC60" s="75"/>
      <c r="AD60" s="75"/>
      <c r="AE60" s="75"/>
    </row>
    <row r="61" spans="2:31" ht="17" customHeight="1" x14ac:dyDescent="0.2">
      <c r="B61" s="94" t="str">
        <f t="shared" si="0"/>
        <v xml:space="preserve">  </v>
      </c>
      <c r="C61" s="75"/>
      <c r="D61" s="75"/>
      <c r="E61" s="75"/>
      <c r="F61" s="75"/>
      <c r="G61" s="75"/>
      <c r="H61" s="75"/>
      <c r="I61" s="75"/>
      <c r="J61" s="75"/>
      <c r="K61" s="75"/>
      <c r="L61" s="75"/>
      <c r="M61" s="75"/>
      <c r="N61" s="112" t="str">
        <f t="shared" si="1"/>
        <v/>
      </c>
      <c r="O61" s="75"/>
      <c r="P61" s="75"/>
      <c r="Q61" s="112" t="str">
        <f t="shared" si="2"/>
        <v/>
      </c>
      <c r="R61" s="75"/>
      <c r="S61" s="75"/>
      <c r="T61" s="85" t="e">
        <f t="shared" si="3"/>
        <v>#VALUE!</v>
      </c>
      <c r="U61" s="75"/>
      <c r="V61" s="75"/>
      <c r="W61" s="75"/>
      <c r="X61" s="75"/>
      <c r="Y61" s="75"/>
      <c r="Z61" s="75"/>
      <c r="AA61" s="75"/>
      <c r="AB61" s="75"/>
      <c r="AC61" s="75"/>
      <c r="AD61" s="75"/>
      <c r="AE61" s="75"/>
    </row>
    <row r="62" spans="2:31" ht="17" customHeight="1" x14ac:dyDescent="0.2">
      <c r="B62" s="94" t="str">
        <f t="shared" si="0"/>
        <v xml:space="preserve">  </v>
      </c>
      <c r="C62" s="75"/>
      <c r="D62" s="75"/>
      <c r="E62" s="75"/>
      <c r="F62" s="75"/>
      <c r="G62" s="75"/>
      <c r="H62" s="75"/>
      <c r="I62" s="75"/>
      <c r="J62" s="75"/>
      <c r="K62" s="75"/>
      <c r="L62" s="75"/>
      <c r="M62" s="75"/>
      <c r="N62" s="112" t="str">
        <f t="shared" si="1"/>
        <v/>
      </c>
      <c r="O62" s="75"/>
      <c r="P62" s="75"/>
      <c r="Q62" s="112" t="str">
        <f t="shared" si="2"/>
        <v/>
      </c>
      <c r="R62" s="75"/>
      <c r="S62" s="75"/>
      <c r="T62" s="85" t="e">
        <f t="shared" si="3"/>
        <v>#VALUE!</v>
      </c>
      <c r="U62" s="75"/>
      <c r="V62" s="75"/>
      <c r="W62" s="75"/>
      <c r="X62" s="75"/>
      <c r="Y62" s="75"/>
      <c r="Z62" s="75"/>
      <c r="AA62" s="75"/>
      <c r="AB62" s="75"/>
      <c r="AC62" s="75"/>
      <c r="AD62" s="75"/>
      <c r="AE62" s="75"/>
    </row>
    <row r="63" spans="2:31" ht="17" customHeight="1" x14ac:dyDescent="0.2">
      <c r="B63" s="94" t="str">
        <f t="shared" si="0"/>
        <v xml:space="preserve">  </v>
      </c>
      <c r="C63" s="75"/>
      <c r="D63" s="75"/>
      <c r="E63" s="75"/>
      <c r="F63" s="75"/>
      <c r="G63" s="75"/>
      <c r="H63" s="75"/>
      <c r="I63" s="75"/>
      <c r="J63" s="75"/>
      <c r="K63" s="75"/>
      <c r="L63" s="75"/>
      <c r="M63" s="75"/>
      <c r="N63" s="112" t="str">
        <f t="shared" si="1"/>
        <v/>
      </c>
      <c r="O63" s="75"/>
      <c r="P63" s="75"/>
      <c r="Q63" s="112" t="str">
        <f t="shared" si="2"/>
        <v/>
      </c>
      <c r="R63" s="75"/>
      <c r="S63" s="75"/>
      <c r="T63" s="85" t="e">
        <f t="shared" si="3"/>
        <v>#VALUE!</v>
      </c>
      <c r="U63" s="75"/>
      <c r="V63" s="75"/>
      <c r="W63" s="75"/>
      <c r="X63" s="75"/>
      <c r="Y63" s="75"/>
      <c r="Z63" s="75"/>
      <c r="AA63" s="75"/>
      <c r="AB63" s="75"/>
      <c r="AC63" s="75"/>
      <c r="AD63" s="75"/>
      <c r="AE63" s="75"/>
    </row>
    <row r="64" spans="2:31" ht="17" customHeight="1" x14ac:dyDescent="0.2">
      <c r="B64" s="94" t="str">
        <f t="shared" si="0"/>
        <v xml:space="preserve">  </v>
      </c>
      <c r="C64" s="75"/>
      <c r="D64" s="75"/>
      <c r="E64" s="75"/>
      <c r="F64" s="75"/>
      <c r="G64" s="75"/>
      <c r="H64" s="75"/>
      <c r="I64" s="75"/>
      <c r="J64" s="75"/>
      <c r="K64" s="75"/>
      <c r="L64" s="75"/>
      <c r="M64" s="75"/>
      <c r="N64" s="112" t="str">
        <f t="shared" si="1"/>
        <v/>
      </c>
      <c r="O64" s="75"/>
      <c r="P64" s="75"/>
      <c r="Q64" s="112" t="str">
        <f t="shared" si="2"/>
        <v/>
      </c>
      <c r="R64" s="75"/>
      <c r="S64" s="75"/>
      <c r="T64" s="85" t="e">
        <f t="shared" si="3"/>
        <v>#VALUE!</v>
      </c>
      <c r="U64" s="75"/>
      <c r="V64" s="75"/>
      <c r="W64" s="75"/>
      <c r="X64" s="75"/>
      <c r="Y64" s="75"/>
      <c r="Z64" s="75"/>
      <c r="AA64" s="75"/>
      <c r="AB64" s="75"/>
      <c r="AC64" s="75"/>
      <c r="AD64" s="75"/>
      <c r="AE64" s="75"/>
    </row>
    <row r="65" spans="2:31" ht="17" customHeight="1" x14ac:dyDescent="0.2">
      <c r="B65" s="94" t="str">
        <f t="shared" si="0"/>
        <v xml:space="preserve">  </v>
      </c>
      <c r="C65" s="75"/>
      <c r="D65" s="75"/>
      <c r="E65" s="75"/>
      <c r="F65" s="75"/>
      <c r="G65" s="75"/>
      <c r="H65" s="75"/>
      <c r="I65" s="75"/>
      <c r="J65" s="75"/>
      <c r="K65" s="75"/>
      <c r="L65" s="75"/>
      <c r="M65" s="75"/>
      <c r="N65" s="112" t="str">
        <f t="shared" si="1"/>
        <v/>
      </c>
      <c r="O65" s="75"/>
      <c r="P65" s="75"/>
      <c r="Q65" s="112" t="str">
        <f t="shared" si="2"/>
        <v/>
      </c>
      <c r="R65" s="75"/>
      <c r="S65" s="75"/>
      <c r="T65" s="85" t="e">
        <f t="shared" si="3"/>
        <v>#VALUE!</v>
      </c>
      <c r="U65" s="75"/>
      <c r="V65" s="75"/>
      <c r="W65" s="75"/>
      <c r="X65" s="75"/>
      <c r="Y65" s="75"/>
      <c r="Z65" s="75"/>
      <c r="AA65" s="75"/>
      <c r="AB65" s="75"/>
      <c r="AC65" s="75"/>
      <c r="AD65" s="75"/>
      <c r="AE65" s="75"/>
    </row>
    <row r="66" spans="2:31" ht="17" customHeight="1" x14ac:dyDescent="0.2">
      <c r="B66" s="94" t="str">
        <f t="shared" si="0"/>
        <v xml:space="preserve">  </v>
      </c>
      <c r="C66" s="75"/>
      <c r="D66" s="75"/>
      <c r="E66" s="75"/>
      <c r="F66" s="75"/>
      <c r="G66" s="75"/>
      <c r="H66" s="75"/>
      <c r="I66" s="75"/>
      <c r="J66" s="75"/>
      <c r="K66" s="75"/>
      <c r="L66" s="75"/>
      <c r="M66" s="75"/>
      <c r="N66" s="112" t="str">
        <f t="shared" si="1"/>
        <v/>
      </c>
      <c r="O66" s="75"/>
      <c r="P66" s="75"/>
      <c r="Q66" s="112" t="str">
        <f t="shared" si="2"/>
        <v/>
      </c>
      <c r="R66" s="75"/>
      <c r="S66" s="75"/>
      <c r="T66" s="85" t="e">
        <f t="shared" si="3"/>
        <v>#VALUE!</v>
      </c>
      <c r="U66" s="75"/>
      <c r="V66" s="75"/>
      <c r="W66" s="75"/>
      <c r="X66" s="75"/>
      <c r="Y66" s="75"/>
      <c r="Z66" s="75"/>
      <c r="AA66" s="75"/>
      <c r="AB66" s="75"/>
      <c r="AC66" s="75"/>
      <c r="AD66" s="75"/>
      <c r="AE66" s="75"/>
    </row>
    <row r="67" spans="2:31" ht="17" customHeight="1" x14ac:dyDescent="0.2">
      <c r="B67" s="94" t="str">
        <f t="shared" si="0"/>
        <v xml:space="preserve">  </v>
      </c>
      <c r="C67" s="75"/>
      <c r="D67" s="75"/>
      <c r="E67" s="75"/>
      <c r="F67" s="75"/>
      <c r="G67" s="75"/>
      <c r="H67" s="75"/>
      <c r="I67" s="75"/>
      <c r="J67" s="75"/>
      <c r="K67" s="75"/>
      <c r="L67" s="75"/>
      <c r="M67" s="75"/>
      <c r="N67" s="112" t="str">
        <f t="shared" si="1"/>
        <v/>
      </c>
      <c r="O67" s="75"/>
      <c r="P67" s="75"/>
      <c r="Q67" s="112" t="str">
        <f t="shared" si="2"/>
        <v/>
      </c>
      <c r="R67" s="75"/>
      <c r="S67" s="75"/>
      <c r="T67" s="85" t="e">
        <f t="shared" si="3"/>
        <v>#VALUE!</v>
      </c>
      <c r="U67" s="75"/>
      <c r="V67" s="75"/>
      <c r="W67" s="75"/>
      <c r="X67" s="75"/>
      <c r="Y67" s="75"/>
      <c r="Z67" s="75"/>
      <c r="AA67" s="75"/>
      <c r="AB67" s="75"/>
      <c r="AC67" s="75"/>
      <c r="AD67" s="75"/>
      <c r="AE67" s="75"/>
    </row>
    <row r="68" spans="2:31" ht="17" customHeight="1" x14ac:dyDescent="0.2">
      <c r="B68" s="94" t="str">
        <f t="shared" si="0"/>
        <v xml:space="preserve">  </v>
      </c>
      <c r="C68" s="75"/>
      <c r="D68" s="75"/>
      <c r="E68" s="75"/>
      <c r="F68" s="75"/>
      <c r="G68" s="75"/>
      <c r="H68" s="75"/>
      <c r="I68" s="75"/>
      <c r="J68" s="75"/>
      <c r="K68" s="75"/>
      <c r="L68" s="75"/>
      <c r="M68" s="75"/>
      <c r="N68" s="112" t="str">
        <f t="shared" si="1"/>
        <v/>
      </c>
      <c r="O68" s="75"/>
      <c r="P68" s="75"/>
      <c r="Q68" s="112" t="str">
        <f t="shared" si="2"/>
        <v/>
      </c>
      <c r="R68" s="75"/>
      <c r="S68" s="75"/>
      <c r="T68" s="85" t="e">
        <f t="shared" si="3"/>
        <v>#VALUE!</v>
      </c>
      <c r="U68" s="75"/>
      <c r="V68" s="75"/>
      <c r="W68" s="75"/>
      <c r="X68" s="75"/>
      <c r="Y68" s="75"/>
      <c r="Z68" s="75"/>
      <c r="AA68" s="75"/>
      <c r="AB68" s="75"/>
      <c r="AC68" s="75"/>
      <c r="AD68" s="75"/>
      <c r="AE68" s="75"/>
    </row>
    <row r="69" spans="2:31" ht="17" customHeight="1" x14ac:dyDescent="0.2">
      <c r="B69" s="94" t="str">
        <f t="shared" si="0"/>
        <v xml:space="preserve">  </v>
      </c>
      <c r="C69" s="75"/>
      <c r="D69" s="75"/>
      <c r="E69" s="75"/>
      <c r="F69" s="75"/>
      <c r="G69" s="75"/>
      <c r="H69" s="75"/>
      <c r="I69" s="75"/>
      <c r="J69" s="75"/>
      <c r="K69" s="75"/>
      <c r="L69" s="75"/>
      <c r="M69" s="75"/>
      <c r="N69" s="112" t="str">
        <f t="shared" si="1"/>
        <v/>
      </c>
      <c r="O69" s="75"/>
      <c r="P69" s="75"/>
      <c r="Q69" s="112" t="str">
        <f t="shared" si="2"/>
        <v/>
      </c>
      <c r="R69" s="75"/>
      <c r="S69" s="75"/>
      <c r="T69" s="85" t="e">
        <f t="shared" si="3"/>
        <v>#VALUE!</v>
      </c>
      <c r="U69" s="75"/>
      <c r="V69" s="75"/>
      <c r="W69" s="75"/>
      <c r="X69" s="75"/>
      <c r="Y69" s="75"/>
      <c r="Z69" s="75"/>
      <c r="AA69" s="75"/>
      <c r="AB69" s="75"/>
      <c r="AC69" s="75"/>
      <c r="AD69" s="75"/>
      <c r="AE69" s="75"/>
    </row>
    <row r="70" spans="2:31" ht="17" customHeight="1" x14ac:dyDescent="0.2">
      <c r="B70" s="94" t="str">
        <f t="shared" si="0"/>
        <v xml:space="preserve">  </v>
      </c>
      <c r="C70" s="75"/>
      <c r="D70" s="75"/>
      <c r="E70" s="75"/>
      <c r="F70" s="75"/>
      <c r="G70" s="75"/>
      <c r="H70" s="75"/>
      <c r="I70" s="75"/>
      <c r="J70" s="75"/>
      <c r="K70" s="75"/>
      <c r="L70" s="75"/>
      <c r="M70" s="75"/>
      <c r="N70" s="112" t="str">
        <f t="shared" si="1"/>
        <v/>
      </c>
      <c r="O70" s="75"/>
      <c r="P70" s="75"/>
      <c r="Q70" s="112" t="str">
        <f t="shared" si="2"/>
        <v/>
      </c>
      <c r="R70" s="75"/>
      <c r="S70" s="75"/>
      <c r="T70" s="85" t="e">
        <f t="shared" si="3"/>
        <v>#VALUE!</v>
      </c>
      <c r="U70" s="75"/>
      <c r="V70" s="75"/>
      <c r="W70" s="75"/>
      <c r="X70" s="75"/>
      <c r="Y70" s="75"/>
      <c r="Z70" s="75"/>
      <c r="AA70" s="75"/>
      <c r="AB70" s="75"/>
      <c r="AC70" s="75"/>
      <c r="AD70" s="75"/>
      <c r="AE70" s="75"/>
    </row>
    <row r="71" spans="2:31" ht="17" customHeight="1" x14ac:dyDescent="0.2">
      <c r="B71" s="94" t="str">
        <f t="shared" si="0"/>
        <v xml:space="preserve">  </v>
      </c>
      <c r="C71" s="75"/>
      <c r="D71" s="75"/>
      <c r="E71" s="75"/>
      <c r="F71" s="75"/>
      <c r="G71" s="75"/>
      <c r="H71" s="75"/>
      <c r="I71" s="75"/>
      <c r="J71" s="75"/>
      <c r="K71" s="75"/>
      <c r="L71" s="75"/>
      <c r="M71" s="75"/>
      <c r="N71" s="112" t="str">
        <f t="shared" si="1"/>
        <v/>
      </c>
      <c r="O71" s="75"/>
      <c r="P71" s="75"/>
      <c r="Q71" s="112" t="str">
        <f t="shared" si="2"/>
        <v/>
      </c>
      <c r="R71" s="75"/>
      <c r="S71" s="75"/>
      <c r="T71" s="85" t="e">
        <f t="shared" si="3"/>
        <v>#VALUE!</v>
      </c>
      <c r="U71" s="75"/>
      <c r="V71" s="75"/>
      <c r="W71" s="75"/>
      <c r="X71" s="75"/>
      <c r="Y71" s="75"/>
      <c r="Z71" s="75"/>
      <c r="AA71" s="75"/>
      <c r="AB71" s="75"/>
      <c r="AC71" s="75"/>
      <c r="AD71" s="75"/>
      <c r="AE71" s="75"/>
    </row>
    <row r="72" spans="2:31" ht="17" customHeight="1" x14ac:dyDescent="0.2">
      <c r="B72" s="94" t="str">
        <f t="shared" si="0"/>
        <v xml:space="preserve">  </v>
      </c>
      <c r="C72" s="75"/>
      <c r="D72" s="75"/>
      <c r="E72" s="75"/>
      <c r="F72" s="75"/>
      <c r="G72" s="75"/>
      <c r="H72" s="75"/>
      <c r="I72" s="75"/>
      <c r="J72" s="75"/>
      <c r="K72" s="75"/>
      <c r="L72" s="75"/>
      <c r="M72" s="75"/>
      <c r="N72" s="112" t="str">
        <f t="shared" si="1"/>
        <v/>
      </c>
      <c r="O72" s="75"/>
      <c r="P72" s="75"/>
      <c r="Q72" s="112" t="str">
        <f t="shared" si="2"/>
        <v/>
      </c>
      <c r="R72" s="75"/>
      <c r="S72" s="75"/>
      <c r="T72" s="85" t="e">
        <f t="shared" si="3"/>
        <v>#VALUE!</v>
      </c>
      <c r="U72" s="75"/>
      <c r="V72" s="75"/>
      <c r="W72" s="75"/>
      <c r="X72" s="75"/>
      <c r="Y72" s="75"/>
      <c r="Z72" s="75"/>
      <c r="AA72" s="75"/>
      <c r="AB72" s="75"/>
      <c r="AC72" s="75"/>
      <c r="AD72" s="75"/>
      <c r="AE72" s="75"/>
    </row>
    <row r="73" spans="2:31" ht="17" customHeight="1" x14ac:dyDescent="0.2">
      <c r="B73" s="94" t="str">
        <f t="shared" si="0"/>
        <v xml:space="preserve">  </v>
      </c>
      <c r="C73" s="75"/>
      <c r="D73" s="75"/>
      <c r="E73" s="75"/>
      <c r="F73" s="75"/>
      <c r="G73" s="75"/>
      <c r="H73" s="75"/>
      <c r="I73" s="75"/>
      <c r="J73" s="75"/>
      <c r="K73" s="75"/>
      <c r="L73" s="75"/>
      <c r="M73" s="75"/>
      <c r="N73" s="112" t="str">
        <f t="shared" si="1"/>
        <v/>
      </c>
      <c r="O73" s="75"/>
      <c r="P73" s="75"/>
      <c r="Q73" s="112" t="str">
        <f t="shared" si="2"/>
        <v/>
      </c>
      <c r="R73" s="75"/>
      <c r="S73" s="75"/>
      <c r="T73" s="85" t="e">
        <f t="shared" si="3"/>
        <v>#VALUE!</v>
      </c>
      <c r="U73" s="75"/>
      <c r="V73" s="75"/>
      <c r="W73" s="75"/>
      <c r="X73" s="75"/>
      <c r="Y73" s="75"/>
      <c r="Z73" s="75"/>
      <c r="AA73" s="75"/>
      <c r="AB73" s="75"/>
      <c r="AC73" s="75"/>
      <c r="AD73" s="75"/>
      <c r="AE73" s="75"/>
    </row>
    <row r="74" spans="2:31" ht="17" customHeight="1" x14ac:dyDescent="0.2">
      <c r="B74" s="94" t="str">
        <f t="shared" si="0"/>
        <v xml:space="preserve">  </v>
      </c>
      <c r="C74" s="75"/>
      <c r="D74" s="75"/>
      <c r="E74" s="75"/>
      <c r="F74" s="75"/>
      <c r="G74" s="75"/>
      <c r="H74" s="75"/>
      <c r="I74" s="75"/>
      <c r="J74" s="75"/>
      <c r="K74" s="75"/>
      <c r="L74" s="75"/>
      <c r="M74" s="75"/>
      <c r="N74" s="112" t="str">
        <f t="shared" si="1"/>
        <v/>
      </c>
      <c r="O74" s="75"/>
      <c r="P74" s="75"/>
      <c r="Q74" s="112" t="str">
        <f t="shared" si="2"/>
        <v/>
      </c>
      <c r="R74" s="75"/>
      <c r="S74" s="75"/>
      <c r="T74" s="85" t="e">
        <f t="shared" si="3"/>
        <v>#VALUE!</v>
      </c>
      <c r="U74" s="75"/>
      <c r="V74" s="75"/>
      <c r="W74" s="75"/>
      <c r="X74" s="75"/>
      <c r="Y74" s="75"/>
      <c r="Z74" s="75"/>
      <c r="AA74" s="75"/>
      <c r="AB74" s="75"/>
      <c r="AC74" s="75"/>
      <c r="AD74" s="75"/>
      <c r="AE74" s="75"/>
    </row>
    <row r="75" spans="2:31" ht="17" customHeight="1" x14ac:dyDescent="0.2">
      <c r="B75" s="94" t="str">
        <f t="shared" si="0"/>
        <v xml:space="preserve">  </v>
      </c>
      <c r="C75" s="75"/>
      <c r="D75" s="75"/>
      <c r="E75" s="75"/>
      <c r="F75" s="75"/>
      <c r="G75" s="75"/>
      <c r="H75" s="75"/>
      <c r="I75" s="75"/>
      <c r="J75" s="75"/>
      <c r="K75" s="75"/>
      <c r="L75" s="75"/>
      <c r="M75" s="75"/>
      <c r="N75" s="112" t="str">
        <f t="shared" si="1"/>
        <v/>
      </c>
      <c r="O75" s="75"/>
      <c r="P75" s="75"/>
      <c r="Q75" s="112" t="str">
        <f t="shared" si="2"/>
        <v/>
      </c>
      <c r="R75" s="75"/>
      <c r="S75" s="75"/>
      <c r="T75" s="85" t="e">
        <f t="shared" si="3"/>
        <v>#VALUE!</v>
      </c>
      <c r="U75" s="75"/>
      <c r="V75" s="75"/>
      <c r="W75" s="75"/>
      <c r="X75" s="75"/>
      <c r="Y75" s="75"/>
      <c r="Z75" s="75"/>
      <c r="AA75" s="75"/>
      <c r="AB75" s="75"/>
      <c r="AC75" s="75"/>
      <c r="AD75" s="75"/>
      <c r="AE75" s="75"/>
    </row>
    <row r="76" spans="2:31" ht="17" customHeight="1" x14ac:dyDescent="0.2">
      <c r="B76" s="94" t="str">
        <f t="shared" si="0"/>
        <v xml:space="preserve">  </v>
      </c>
      <c r="C76" s="75"/>
      <c r="D76" s="75"/>
      <c r="E76" s="75"/>
      <c r="F76" s="75"/>
      <c r="G76" s="75"/>
      <c r="H76" s="75"/>
      <c r="I76" s="75"/>
      <c r="J76" s="75"/>
      <c r="K76" s="75"/>
      <c r="L76" s="75"/>
      <c r="M76" s="75"/>
      <c r="N76" s="112" t="str">
        <f t="shared" si="1"/>
        <v/>
      </c>
      <c r="O76" s="75"/>
      <c r="P76" s="75"/>
      <c r="Q76" s="112" t="str">
        <f t="shared" si="2"/>
        <v/>
      </c>
      <c r="R76" s="75"/>
      <c r="S76" s="75"/>
      <c r="T76" s="85" t="e">
        <f t="shared" si="3"/>
        <v>#VALUE!</v>
      </c>
      <c r="U76" s="75"/>
      <c r="V76" s="75"/>
      <c r="W76" s="75"/>
      <c r="X76" s="75"/>
      <c r="Y76" s="75"/>
      <c r="Z76" s="75"/>
      <c r="AA76" s="75"/>
      <c r="AB76" s="75"/>
      <c r="AC76" s="75"/>
      <c r="AD76" s="75"/>
      <c r="AE76" s="75"/>
    </row>
    <row r="77" spans="2:31" ht="17" customHeight="1" x14ac:dyDescent="0.2">
      <c r="B77" s="94" t="str">
        <f t="shared" si="0"/>
        <v xml:space="preserve">  </v>
      </c>
      <c r="C77" s="75"/>
      <c r="D77" s="75"/>
      <c r="E77" s="75"/>
      <c r="F77" s="75"/>
      <c r="G77" s="75"/>
      <c r="H77" s="75"/>
      <c r="I77" s="75"/>
      <c r="J77" s="75"/>
      <c r="K77" s="75"/>
      <c r="L77" s="75"/>
      <c r="M77" s="75"/>
      <c r="N77" s="112" t="str">
        <f t="shared" si="1"/>
        <v/>
      </c>
      <c r="O77" s="75"/>
      <c r="P77" s="75"/>
      <c r="Q77" s="112" t="str">
        <f t="shared" si="2"/>
        <v/>
      </c>
      <c r="R77" s="75"/>
      <c r="S77" s="75"/>
      <c r="T77" s="85" t="e">
        <f t="shared" si="3"/>
        <v>#VALUE!</v>
      </c>
      <c r="U77" s="75"/>
      <c r="V77" s="75"/>
      <c r="W77" s="75"/>
      <c r="X77" s="75"/>
      <c r="Y77" s="75"/>
      <c r="Z77" s="75"/>
      <c r="AA77" s="75"/>
      <c r="AB77" s="75"/>
      <c r="AC77" s="75"/>
      <c r="AD77" s="75"/>
      <c r="AE77" s="75"/>
    </row>
    <row r="78" spans="2:31" ht="17" customHeight="1" x14ac:dyDescent="0.2">
      <c r="B78" s="94" t="str">
        <f t="shared" si="0"/>
        <v xml:space="preserve">  </v>
      </c>
      <c r="C78" s="75"/>
      <c r="D78" s="75"/>
      <c r="E78" s="75"/>
      <c r="F78" s="75"/>
      <c r="G78" s="75"/>
      <c r="H78" s="75"/>
      <c r="I78" s="75"/>
      <c r="J78" s="75"/>
      <c r="K78" s="75"/>
      <c r="L78" s="75"/>
      <c r="M78" s="75"/>
      <c r="N78" s="112" t="str">
        <f t="shared" si="1"/>
        <v/>
      </c>
      <c r="O78" s="75"/>
      <c r="P78" s="75"/>
      <c r="Q78" s="112" t="str">
        <f t="shared" si="2"/>
        <v/>
      </c>
      <c r="R78" s="75"/>
      <c r="S78" s="75"/>
      <c r="T78" s="85" t="e">
        <f t="shared" si="3"/>
        <v>#VALUE!</v>
      </c>
      <c r="U78" s="75"/>
      <c r="V78" s="75"/>
      <c r="W78" s="75"/>
      <c r="X78" s="75"/>
      <c r="Y78" s="75"/>
      <c r="Z78" s="75"/>
      <c r="AA78" s="75"/>
      <c r="AB78" s="75"/>
      <c r="AC78" s="75"/>
      <c r="AD78" s="75"/>
      <c r="AE78" s="75"/>
    </row>
    <row r="80" spans="2:31" ht="20" customHeight="1" x14ac:dyDescent="0.2">
      <c r="B80" s="77" t="s">
        <v>259</v>
      </c>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row>
    <row r="81" spans="2:31" ht="20" customHeight="1" x14ac:dyDescent="0.2">
      <c r="B81" s="113" t="s">
        <v>162</v>
      </c>
      <c r="C81" s="75"/>
      <c r="D81" s="75"/>
      <c r="E81" s="75"/>
      <c r="F81" s="75"/>
      <c r="G81" s="75"/>
      <c r="H81" s="75"/>
      <c r="I81" s="75"/>
      <c r="J81" s="75"/>
      <c r="K81" s="75"/>
      <c r="L81" s="114" t="s">
        <v>260</v>
      </c>
      <c r="M81" s="75"/>
      <c r="N81" s="75"/>
      <c r="O81" s="114" t="s">
        <v>261</v>
      </c>
      <c r="P81" s="75"/>
      <c r="Q81" s="75"/>
      <c r="R81" s="113" t="s">
        <v>262</v>
      </c>
      <c r="S81" s="75"/>
      <c r="T81" s="75"/>
      <c r="U81" s="75"/>
      <c r="V81" s="75"/>
      <c r="W81" s="75"/>
      <c r="X81" s="75"/>
      <c r="Y81" s="75"/>
      <c r="Z81" s="75"/>
      <c r="AA81" s="75"/>
      <c r="AB81" s="75"/>
      <c r="AC81" s="75"/>
      <c r="AD81" s="75"/>
      <c r="AE81" s="75"/>
    </row>
    <row r="82" spans="2:31" ht="17" customHeight="1" x14ac:dyDescent="0.2">
      <c r="B82" s="94" t="str">
        <f t="shared" ref="B82:B106" si="4">IF(ROW()-81&gt;Var_N,"",INDEX(Res_Codigo,ROW()-81)&amp;"  "&amp;INDEX(Res_Nombre,ROW()-81))</f>
        <v xml:space="preserve">  </v>
      </c>
      <c r="C82" s="75"/>
      <c r="D82" s="75"/>
      <c r="E82" s="75"/>
      <c r="F82" s="75"/>
      <c r="G82" s="75"/>
      <c r="H82" s="75"/>
      <c r="I82" s="75"/>
      <c r="J82" s="75"/>
      <c r="K82" s="75"/>
      <c r="L82" s="112" t="str">
        <f t="shared" ref="L82:L106" si="5">IF(ROW()-81&gt;Var_N,"",INDEX(Res_Motricidad,ROW()-81))</f>
        <v/>
      </c>
      <c r="M82" s="75"/>
      <c r="N82" s="75"/>
      <c r="O82" s="112" t="str">
        <f t="shared" ref="O82:O106" si="6">IF(ROW()-81&gt;Var_N,"",INDEX(Res_Dependencia,ROW()-81))</f>
        <v/>
      </c>
      <c r="P82" s="75"/>
      <c r="Q82" s="75"/>
      <c r="R82" s="85" t="str">
        <f t="shared" ref="R82:R106" si="7">IF(ROW()-81&gt;Var_N,"",IF(INDEX(Res_Tipologia,ROW()-81)="1 · Entrada / determinante","Motriz: gobierna el sistema y casi nadie lo gobierna",IF(INDEX(Res_Tipologia,ROW()-81)="2 · Intermedia / de enlace","Clave: inestable, todo cambio se propaga",IF(INDEX(Res_Tipologia,ROW()-81)="3 · Resultado","Resultado: síntoma, se mueve cuando cambian los demás",IF(INDEX(Res_Tipologia,ROW()-81)="4 · Excluida / autónoma","Autónomo: fuera de la dinámica del sistema","Pelotón: el método no permite afirmar su papel")))))</f>
        <v>Pelotón: el método no permite afirmar su papel</v>
      </c>
      <c r="S82" s="75"/>
      <c r="T82" s="75"/>
      <c r="U82" s="75"/>
      <c r="V82" s="75"/>
      <c r="W82" s="75"/>
      <c r="X82" s="75"/>
      <c r="Y82" s="75"/>
      <c r="Z82" s="75"/>
      <c r="AA82" s="75"/>
      <c r="AB82" s="75"/>
      <c r="AC82" s="75"/>
      <c r="AD82" s="75"/>
      <c r="AE82" s="75"/>
    </row>
    <row r="83" spans="2:31" ht="17" customHeight="1" x14ac:dyDescent="0.2">
      <c r="B83" s="94" t="str">
        <f t="shared" si="4"/>
        <v xml:space="preserve">  </v>
      </c>
      <c r="C83" s="75"/>
      <c r="D83" s="75"/>
      <c r="E83" s="75"/>
      <c r="F83" s="75"/>
      <c r="G83" s="75"/>
      <c r="H83" s="75"/>
      <c r="I83" s="75"/>
      <c r="J83" s="75"/>
      <c r="K83" s="75"/>
      <c r="L83" s="112" t="str">
        <f t="shared" si="5"/>
        <v/>
      </c>
      <c r="M83" s="75"/>
      <c r="N83" s="75"/>
      <c r="O83" s="112" t="str">
        <f t="shared" si="6"/>
        <v/>
      </c>
      <c r="P83" s="75"/>
      <c r="Q83" s="75"/>
      <c r="R83" s="85" t="str">
        <f t="shared" si="7"/>
        <v>Pelotón: el método no permite afirmar su papel</v>
      </c>
      <c r="S83" s="75"/>
      <c r="T83" s="75"/>
      <c r="U83" s="75"/>
      <c r="V83" s="75"/>
      <c r="W83" s="75"/>
      <c r="X83" s="75"/>
      <c r="Y83" s="75"/>
      <c r="Z83" s="75"/>
      <c r="AA83" s="75"/>
      <c r="AB83" s="75"/>
      <c r="AC83" s="75"/>
      <c r="AD83" s="75"/>
      <c r="AE83" s="75"/>
    </row>
    <row r="84" spans="2:31" ht="17" customHeight="1" x14ac:dyDescent="0.2">
      <c r="B84" s="94" t="str">
        <f t="shared" si="4"/>
        <v xml:space="preserve">  </v>
      </c>
      <c r="C84" s="75"/>
      <c r="D84" s="75"/>
      <c r="E84" s="75"/>
      <c r="F84" s="75"/>
      <c r="G84" s="75"/>
      <c r="H84" s="75"/>
      <c r="I84" s="75"/>
      <c r="J84" s="75"/>
      <c r="K84" s="75"/>
      <c r="L84" s="112" t="str">
        <f t="shared" si="5"/>
        <v/>
      </c>
      <c r="M84" s="75"/>
      <c r="N84" s="75"/>
      <c r="O84" s="112" t="str">
        <f t="shared" si="6"/>
        <v/>
      </c>
      <c r="P84" s="75"/>
      <c r="Q84" s="75"/>
      <c r="R84" s="85" t="str">
        <f t="shared" si="7"/>
        <v>Pelotón: el método no permite afirmar su papel</v>
      </c>
      <c r="S84" s="75"/>
      <c r="T84" s="75"/>
      <c r="U84" s="75"/>
      <c r="V84" s="75"/>
      <c r="W84" s="75"/>
      <c r="X84" s="75"/>
      <c r="Y84" s="75"/>
      <c r="Z84" s="75"/>
      <c r="AA84" s="75"/>
      <c r="AB84" s="75"/>
      <c r="AC84" s="75"/>
      <c r="AD84" s="75"/>
      <c r="AE84" s="75"/>
    </row>
    <row r="85" spans="2:31" ht="17" customHeight="1" x14ac:dyDescent="0.2">
      <c r="B85" s="94" t="str">
        <f t="shared" si="4"/>
        <v xml:space="preserve">  </v>
      </c>
      <c r="C85" s="75"/>
      <c r="D85" s="75"/>
      <c r="E85" s="75"/>
      <c r="F85" s="75"/>
      <c r="G85" s="75"/>
      <c r="H85" s="75"/>
      <c r="I85" s="75"/>
      <c r="J85" s="75"/>
      <c r="K85" s="75"/>
      <c r="L85" s="112" t="str">
        <f t="shared" si="5"/>
        <v/>
      </c>
      <c r="M85" s="75"/>
      <c r="N85" s="75"/>
      <c r="O85" s="112" t="str">
        <f t="shared" si="6"/>
        <v/>
      </c>
      <c r="P85" s="75"/>
      <c r="Q85" s="75"/>
      <c r="R85" s="85" t="str">
        <f t="shared" si="7"/>
        <v>Pelotón: el método no permite afirmar su papel</v>
      </c>
      <c r="S85" s="75"/>
      <c r="T85" s="75"/>
      <c r="U85" s="75"/>
      <c r="V85" s="75"/>
      <c r="W85" s="75"/>
      <c r="X85" s="75"/>
      <c r="Y85" s="75"/>
      <c r="Z85" s="75"/>
      <c r="AA85" s="75"/>
      <c r="AB85" s="75"/>
      <c r="AC85" s="75"/>
      <c r="AD85" s="75"/>
      <c r="AE85" s="75"/>
    </row>
    <row r="86" spans="2:31" ht="17" customHeight="1" x14ac:dyDescent="0.2">
      <c r="B86" s="94" t="str">
        <f t="shared" si="4"/>
        <v xml:space="preserve">  </v>
      </c>
      <c r="C86" s="75"/>
      <c r="D86" s="75"/>
      <c r="E86" s="75"/>
      <c r="F86" s="75"/>
      <c r="G86" s="75"/>
      <c r="H86" s="75"/>
      <c r="I86" s="75"/>
      <c r="J86" s="75"/>
      <c r="K86" s="75"/>
      <c r="L86" s="112" t="str">
        <f t="shared" si="5"/>
        <v/>
      </c>
      <c r="M86" s="75"/>
      <c r="N86" s="75"/>
      <c r="O86" s="112" t="str">
        <f t="shared" si="6"/>
        <v/>
      </c>
      <c r="P86" s="75"/>
      <c r="Q86" s="75"/>
      <c r="R86" s="85" t="str">
        <f t="shared" si="7"/>
        <v>Pelotón: el método no permite afirmar su papel</v>
      </c>
      <c r="S86" s="75"/>
      <c r="T86" s="75"/>
      <c r="U86" s="75"/>
      <c r="V86" s="75"/>
      <c r="W86" s="75"/>
      <c r="X86" s="75"/>
      <c r="Y86" s="75"/>
      <c r="Z86" s="75"/>
      <c r="AA86" s="75"/>
      <c r="AB86" s="75"/>
      <c r="AC86" s="75"/>
      <c r="AD86" s="75"/>
      <c r="AE86" s="75"/>
    </row>
    <row r="87" spans="2:31" ht="17" customHeight="1" x14ac:dyDescent="0.2">
      <c r="B87" s="94" t="str">
        <f t="shared" si="4"/>
        <v xml:space="preserve">  </v>
      </c>
      <c r="C87" s="75"/>
      <c r="D87" s="75"/>
      <c r="E87" s="75"/>
      <c r="F87" s="75"/>
      <c r="G87" s="75"/>
      <c r="H87" s="75"/>
      <c r="I87" s="75"/>
      <c r="J87" s="75"/>
      <c r="K87" s="75"/>
      <c r="L87" s="112" t="str">
        <f t="shared" si="5"/>
        <v/>
      </c>
      <c r="M87" s="75"/>
      <c r="N87" s="75"/>
      <c r="O87" s="112" t="str">
        <f t="shared" si="6"/>
        <v/>
      </c>
      <c r="P87" s="75"/>
      <c r="Q87" s="75"/>
      <c r="R87" s="85" t="str">
        <f t="shared" si="7"/>
        <v>Pelotón: el método no permite afirmar su papel</v>
      </c>
      <c r="S87" s="75"/>
      <c r="T87" s="75"/>
      <c r="U87" s="75"/>
      <c r="V87" s="75"/>
      <c r="W87" s="75"/>
      <c r="X87" s="75"/>
      <c r="Y87" s="75"/>
      <c r="Z87" s="75"/>
      <c r="AA87" s="75"/>
      <c r="AB87" s="75"/>
      <c r="AC87" s="75"/>
      <c r="AD87" s="75"/>
      <c r="AE87" s="75"/>
    </row>
    <row r="88" spans="2:31" ht="17" customHeight="1" x14ac:dyDescent="0.2">
      <c r="B88" s="94" t="str">
        <f t="shared" si="4"/>
        <v xml:space="preserve">  </v>
      </c>
      <c r="C88" s="75"/>
      <c r="D88" s="75"/>
      <c r="E88" s="75"/>
      <c r="F88" s="75"/>
      <c r="G88" s="75"/>
      <c r="H88" s="75"/>
      <c r="I88" s="75"/>
      <c r="J88" s="75"/>
      <c r="K88" s="75"/>
      <c r="L88" s="112" t="str">
        <f t="shared" si="5"/>
        <v/>
      </c>
      <c r="M88" s="75"/>
      <c r="N88" s="75"/>
      <c r="O88" s="112" t="str">
        <f t="shared" si="6"/>
        <v/>
      </c>
      <c r="P88" s="75"/>
      <c r="Q88" s="75"/>
      <c r="R88" s="85" t="str">
        <f t="shared" si="7"/>
        <v>Pelotón: el método no permite afirmar su papel</v>
      </c>
      <c r="S88" s="75"/>
      <c r="T88" s="75"/>
      <c r="U88" s="75"/>
      <c r="V88" s="75"/>
      <c r="W88" s="75"/>
      <c r="X88" s="75"/>
      <c r="Y88" s="75"/>
      <c r="Z88" s="75"/>
      <c r="AA88" s="75"/>
      <c r="AB88" s="75"/>
      <c r="AC88" s="75"/>
      <c r="AD88" s="75"/>
      <c r="AE88" s="75"/>
    </row>
    <row r="89" spans="2:31" ht="17" customHeight="1" x14ac:dyDescent="0.2">
      <c r="B89" s="94" t="str">
        <f t="shared" si="4"/>
        <v xml:space="preserve">  </v>
      </c>
      <c r="C89" s="75"/>
      <c r="D89" s="75"/>
      <c r="E89" s="75"/>
      <c r="F89" s="75"/>
      <c r="G89" s="75"/>
      <c r="H89" s="75"/>
      <c r="I89" s="75"/>
      <c r="J89" s="75"/>
      <c r="K89" s="75"/>
      <c r="L89" s="112" t="str">
        <f t="shared" si="5"/>
        <v/>
      </c>
      <c r="M89" s="75"/>
      <c r="N89" s="75"/>
      <c r="O89" s="112" t="str">
        <f t="shared" si="6"/>
        <v/>
      </c>
      <c r="P89" s="75"/>
      <c r="Q89" s="75"/>
      <c r="R89" s="85" t="str">
        <f t="shared" si="7"/>
        <v>Pelotón: el método no permite afirmar su papel</v>
      </c>
      <c r="S89" s="75"/>
      <c r="T89" s="75"/>
      <c r="U89" s="75"/>
      <c r="V89" s="75"/>
      <c r="W89" s="75"/>
      <c r="X89" s="75"/>
      <c r="Y89" s="75"/>
      <c r="Z89" s="75"/>
      <c r="AA89" s="75"/>
      <c r="AB89" s="75"/>
      <c r="AC89" s="75"/>
      <c r="AD89" s="75"/>
      <c r="AE89" s="75"/>
    </row>
    <row r="90" spans="2:31" ht="17" customHeight="1" x14ac:dyDescent="0.2">
      <c r="B90" s="94" t="str">
        <f t="shared" si="4"/>
        <v xml:space="preserve">  </v>
      </c>
      <c r="C90" s="75"/>
      <c r="D90" s="75"/>
      <c r="E90" s="75"/>
      <c r="F90" s="75"/>
      <c r="G90" s="75"/>
      <c r="H90" s="75"/>
      <c r="I90" s="75"/>
      <c r="J90" s="75"/>
      <c r="K90" s="75"/>
      <c r="L90" s="112" t="str">
        <f t="shared" si="5"/>
        <v/>
      </c>
      <c r="M90" s="75"/>
      <c r="N90" s="75"/>
      <c r="O90" s="112" t="str">
        <f t="shared" si="6"/>
        <v/>
      </c>
      <c r="P90" s="75"/>
      <c r="Q90" s="75"/>
      <c r="R90" s="85" t="str">
        <f t="shared" si="7"/>
        <v>Pelotón: el método no permite afirmar su papel</v>
      </c>
      <c r="S90" s="75"/>
      <c r="T90" s="75"/>
      <c r="U90" s="75"/>
      <c r="V90" s="75"/>
      <c r="W90" s="75"/>
      <c r="X90" s="75"/>
      <c r="Y90" s="75"/>
      <c r="Z90" s="75"/>
      <c r="AA90" s="75"/>
      <c r="AB90" s="75"/>
      <c r="AC90" s="75"/>
      <c r="AD90" s="75"/>
      <c r="AE90" s="75"/>
    </row>
    <row r="91" spans="2:31" ht="17" customHeight="1" x14ac:dyDescent="0.2">
      <c r="B91" s="94" t="str">
        <f t="shared" si="4"/>
        <v xml:space="preserve">  </v>
      </c>
      <c r="C91" s="75"/>
      <c r="D91" s="75"/>
      <c r="E91" s="75"/>
      <c r="F91" s="75"/>
      <c r="G91" s="75"/>
      <c r="H91" s="75"/>
      <c r="I91" s="75"/>
      <c r="J91" s="75"/>
      <c r="K91" s="75"/>
      <c r="L91" s="112" t="str">
        <f t="shared" si="5"/>
        <v/>
      </c>
      <c r="M91" s="75"/>
      <c r="N91" s="75"/>
      <c r="O91" s="112" t="str">
        <f t="shared" si="6"/>
        <v/>
      </c>
      <c r="P91" s="75"/>
      <c r="Q91" s="75"/>
      <c r="R91" s="85" t="str">
        <f t="shared" si="7"/>
        <v>Pelotón: el método no permite afirmar su papel</v>
      </c>
      <c r="S91" s="75"/>
      <c r="T91" s="75"/>
      <c r="U91" s="75"/>
      <c r="V91" s="75"/>
      <c r="W91" s="75"/>
      <c r="X91" s="75"/>
      <c r="Y91" s="75"/>
      <c r="Z91" s="75"/>
      <c r="AA91" s="75"/>
      <c r="AB91" s="75"/>
      <c r="AC91" s="75"/>
      <c r="AD91" s="75"/>
      <c r="AE91" s="75"/>
    </row>
    <row r="92" spans="2:31" ht="17" customHeight="1" x14ac:dyDescent="0.2">
      <c r="B92" s="94" t="str">
        <f t="shared" si="4"/>
        <v xml:space="preserve">  </v>
      </c>
      <c r="C92" s="75"/>
      <c r="D92" s="75"/>
      <c r="E92" s="75"/>
      <c r="F92" s="75"/>
      <c r="G92" s="75"/>
      <c r="H92" s="75"/>
      <c r="I92" s="75"/>
      <c r="J92" s="75"/>
      <c r="K92" s="75"/>
      <c r="L92" s="112" t="str">
        <f t="shared" si="5"/>
        <v/>
      </c>
      <c r="M92" s="75"/>
      <c r="N92" s="75"/>
      <c r="O92" s="112" t="str">
        <f t="shared" si="6"/>
        <v/>
      </c>
      <c r="P92" s="75"/>
      <c r="Q92" s="75"/>
      <c r="R92" s="85" t="str">
        <f t="shared" si="7"/>
        <v>Pelotón: el método no permite afirmar su papel</v>
      </c>
      <c r="S92" s="75"/>
      <c r="T92" s="75"/>
      <c r="U92" s="75"/>
      <c r="V92" s="75"/>
      <c r="W92" s="75"/>
      <c r="X92" s="75"/>
      <c r="Y92" s="75"/>
      <c r="Z92" s="75"/>
      <c r="AA92" s="75"/>
      <c r="AB92" s="75"/>
      <c r="AC92" s="75"/>
      <c r="AD92" s="75"/>
      <c r="AE92" s="75"/>
    </row>
    <row r="93" spans="2:31" ht="17" customHeight="1" x14ac:dyDescent="0.2">
      <c r="B93" s="94" t="str">
        <f t="shared" si="4"/>
        <v xml:space="preserve">  </v>
      </c>
      <c r="C93" s="75"/>
      <c r="D93" s="75"/>
      <c r="E93" s="75"/>
      <c r="F93" s="75"/>
      <c r="G93" s="75"/>
      <c r="H93" s="75"/>
      <c r="I93" s="75"/>
      <c r="J93" s="75"/>
      <c r="K93" s="75"/>
      <c r="L93" s="112" t="str">
        <f t="shared" si="5"/>
        <v/>
      </c>
      <c r="M93" s="75"/>
      <c r="N93" s="75"/>
      <c r="O93" s="112" t="str">
        <f t="shared" si="6"/>
        <v/>
      </c>
      <c r="P93" s="75"/>
      <c r="Q93" s="75"/>
      <c r="R93" s="85" t="str">
        <f t="shared" si="7"/>
        <v>Pelotón: el método no permite afirmar su papel</v>
      </c>
      <c r="S93" s="75"/>
      <c r="T93" s="75"/>
      <c r="U93" s="75"/>
      <c r="V93" s="75"/>
      <c r="W93" s="75"/>
      <c r="X93" s="75"/>
      <c r="Y93" s="75"/>
      <c r="Z93" s="75"/>
      <c r="AA93" s="75"/>
      <c r="AB93" s="75"/>
      <c r="AC93" s="75"/>
      <c r="AD93" s="75"/>
      <c r="AE93" s="75"/>
    </row>
    <row r="94" spans="2:31" ht="17" customHeight="1" x14ac:dyDescent="0.2">
      <c r="B94" s="94" t="str">
        <f t="shared" si="4"/>
        <v xml:space="preserve">  </v>
      </c>
      <c r="C94" s="75"/>
      <c r="D94" s="75"/>
      <c r="E94" s="75"/>
      <c r="F94" s="75"/>
      <c r="G94" s="75"/>
      <c r="H94" s="75"/>
      <c r="I94" s="75"/>
      <c r="J94" s="75"/>
      <c r="K94" s="75"/>
      <c r="L94" s="112" t="str">
        <f t="shared" si="5"/>
        <v/>
      </c>
      <c r="M94" s="75"/>
      <c r="N94" s="75"/>
      <c r="O94" s="112" t="str">
        <f t="shared" si="6"/>
        <v/>
      </c>
      <c r="P94" s="75"/>
      <c r="Q94" s="75"/>
      <c r="R94" s="85" t="str">
        <f t="shared" si="7"/>
        <v>Pelotón: el método no permite afirmar su papel</v>
      </c>
      <c r="S94" s="75"/>
      <c r="T94" s="75"/>
      <c r="U94" s="75"/>
      <c r="V94" s="75"/>
      <c r="W94" s="75"/>
      <c r="X94" s="75"/>
      <c r="Y94" s="75"/>
      <c r="Z94" s="75"/>
      <c r="AA94" s="75"/>
      <c r="AB94" s="75"/>
      <c r="AC94" s="75"/>
      <c r="AD94" s="75"/>
      <c r="AE94" s="75"/>
    </row>
    <row r="95" spans="2:31" ht="17" customHeight="1" x14ac:dyDescent="0.2">
      <c r="B95" s="94" t="str">
        <f t="shared" si="4"/>
        <v xml:space="preserve">  </v>
      </c>
      <c r="C95" s="75"/>
      <c r="D95" s="75"/>
      <c r="E95" s="75"/>
      <c r="F95" s="75"/>
      <c r="G95" s="75"/>
      <c r="H95" s="75"/>
      <c r="I95" s="75"/>
      <c r="J95" s="75"/>
      <c r="K95" s="75"/>
      <c r="L95" s="112" t="str">
        <f t="shared" si="5"/>
        <v/>
      </c>
      <c r="M95" s="75"/>
      <c r="N95" s="75"/>
      <c r="O95" s="112" t="str">
        <f t="shared" si="6"/>
        <v/>
      </c>
      <c r="P95" s="75"/>
      <c r="Q95" s="75"/>
      <c r="R95" s="85" t="str">
        <f t="shared" si="7"/>
        <v>Pelotón: el método no permite afirmar su papel</v>
      </c>
      <c r="S95" s="75"/>
      <c r="T95" s="75"/>
      <c r="U95" s="75"/>
      <c r="V95" s="75"/>
      <c r="W95" s="75"/>
      <c r="X95" s="75"/>
      <c r="Y95" s="75"/>
      <c r="Z95" s="75"/>
      <c r="AA95" s="75"/>
      <c r="AB95" s="75"/>
      <c r="AC95" s="75"/>
      <c r="AD95" s="75"/>
      <c r="AE95" s="75"/>
    </row>
    <row r="96" spans="2:31" ht="17" customHeight="1" x14ac:dyDescent="0.2">
      <c r="B96" s="94" t="str">
        <f t="shared" si="4"/>
        <v xml:space="preserve">  </v>
      </c>
      <c r="C96" s="75"/>
      <c r="D96" s="75"/>
      <c r="E96" s="75"/>
      <c r="F96" s="75"/>
      <c r="G96" s="75"/>
      <c r="H96" s="75"/>
      <c r="I96" s="75"/>
      <c r="J96" s="75"/>
      <c r="K96" s="75"/>
      <c r="L96" s="112" t="str">
        <f t="shared" si="5"/>
        <v/>
      </c>
      <c r="M96" s="75"/>
      <c r="N96" s="75"/>
      <c r="O96" s="112" t="str">
        <f t="shared" si="6"/>
        <v/>
      </c>
      <c r="P96" s="75"/>
      <c r="Q96" s="75"/>
      <c r="R96" s="85" t="str">
        <f t="shared" si="7"/>
        <v>Pelotón: el método no permite afirmar su papel</v>
      </c>
      <c r="S96" s="75"/>
      <c r="T96" s="75"/>
      <c r="U96" s="75"/>
      <c r="V96" s="75"/>
      <c r="W96" s="75"/>
      <c r="X96" s="75"/>
      <c r="Y96" s="75"/>
      <c r="Z96" s="75"/>
      <c r="AA96" s="75"/>
      <c r="AB96" s="75"/>
      <c r="AC96" s="75"/>
      <c r="AD96" s="75"/>
      <c r="AE96" s="75"/>
    </row>
    <row r="97" spans="2:31" ht="17" customHeight="1" x14ac:dyDescent="0.2">
      <c r="B97" s="94" t="str">
        <f t="shared" si="4"/>
        <v xml:space="preserve">  </v>
      </c>
      <c r="C97" s="75"/>
      <c r="D97" s="75"/>
      <c r="E97" s="75"/>
      <c r="F97" s="75"/>
      <c r="G97" s="75"/>
      <c r="H97" s="75"/>
      <c r="I97" s="75"/>
      <c r="J97" s="75"/>
      <c r="K97" s="75"/>
      <c r="L97" s="112" t="str">
        <f t="shared" si="5"/>
        <v/>
      </c>
      <c r="M97" s="75"/>
      <c r="N97" s="75"/>
      <c r="O97" s="112" t="str">
        <f t="shared" si="6"/>
        <v/>
      </c>
      <c r="P97" s="75"/>
      <c r="Q97" s="75"/>
      <c r="R97" s="85" t="str">
        <f t="shared" si="7"/>
        <v>Pelotón: el método no permite afirmar su papel</v>
      </c>
      <c r="S97" s="75"/>
      <c r="T97" s="75"/>
      <c r="U97" s="75"/>
      <c r="V97" s="75"/>
      <c r="W97" s="75"/>
      <c r="X97" s="75"/>
      <c r="Y97" s="75"/>
      <c r="Z97" s="75"/>
      <c r="AA97" s="75"/>
      <c r="AB97" s="75"/>
      <c r="AC97" s="75"/>
      <c r="AD97" s="75"/>
      <c r="AE97" s="75"/>
    </row>
    <row r="98" spans="2:31" ht="17" customHeight="1" x14ac:dyDescent="0.2">
      <c r="B98" s="94" t="str">
        <f t="shared" si="4"/>
        <v xml:space="preserve">  </v>
      </c>
      <c r="C98" s="75"/>
      <c r="D98" s="75"/>
      <c r="E98" s="75"/>
      <c r="F98" s="75"/>
      <c r="G98" s="75"/>
      <c r="H98" s="75"/>
      <c r="I98" s="75"/>
      <c r="J98" s="75"/>
      <c r="K98" s="75"/>
      <c r="L98" s="112" t="str">
        <f t="shared" si="5"/>
        <v/>
      </c>
      <c r="M98" s="75"/>
      <c r="N98" s="75"/>
      <c r="O98" s="112" t="str">
        <f t="shared" si="6"/>
        <v/>
      </c>
      <c r="P98" s="75"/>
      <c r="Q98" s="75"/>
      <c r="R98" s="85" t="str">
        <f t="shared" si="7"/>
        <v>Pelotón: el método no permite afirmar su papel</v>
      </c>
      <c r="S98" s="75"/>
      <c r="T98" s="75"/>
      <c r="U98" s="75"/>
      <c r="V98" s="75"/>
      <c r="W98" s="75"/>
      <c r="X98" s="75"/>
      <c r="Y98" s="75"/>
      <c r="Z98" s="75"/>
      <c r="AA98" s="75"/>
      <c r="AB98" s="75"/>
      <c r="AC98" s="75"/>
      <c r="AD98" s="75"/>
      <c r="AE98" s="75"/>
    </row>
    <row r="99" spans="2:31" ht="17" customHeight="1" x14ac:dyDescent="0.2">
      <c r="B99" s="94" t="str">
        <f t="shared" si="4"/>
        <v xml:space="preserve">  </v>
      </c>
      <c r="C99" s="75"/>
      <c r="D99" s="75"/>
      <c r="E99" s="75"/>
      <c r="F99" s="75"/>
      <c r="G99" s="75"/>
      <c r="H99" s="75"/>
      <c r="I99" s="75"/>
      <c r="J99" s="75"/>
      <c r="K99" s="75"/>
      <c r="L99" s="112" t="str">
        <f t="shared" si="5"/>
        <v/>
      </c>
      <c r="M99" s="75"/>
      <c r="N99" s="75"/>
      <c r="O99" s="112" t="str">
        <f t="shared" si="6"/>
        <v/>
      </c>
      <c r="P99" s="75"/>
      <c r="Q99" s="75"/>
      <c r="R99" s="85" t="str">
        <f t="shared" si="7"/>
        <v>Pelotón: el método no permite afirmar su papel</v>
      </c>
      <c r="S99" s="75"/>
      <c r="T99" s="75"/>
      <c r="U99" s="75"/>
      <c r="V99" s="75"/>
      <c r="W99" s="75"/>
      <c r="X99" s="75"/>
      <c r="Y99" s="75"/>
      <c r="Z99" s="75"/>
      <c r="AA99" s="75"/>
      <c r="AB99" s="75"/>
      <c r="AC99" s="75"/>
      <c r="AD99" s="75"/>
      <c r="AE99" s="75"/>
    </row>
    <row r="100" spans="2:31" ht="17" customHeight="1" x14ac:dyDescent="0.2">
      <c r="B100" s="94" t="str">
        <f t="shared" si="4"/>
        <v xml:space="preserve">  </v>
      </c>
      <c r="C100" s="75"/>
      <c r="D100" s="75"/>
      <c r="E100" s="75"/>
      <c r="F100" s="75"/>
      <c r="G100" s="75"/>
      <c r="H100" s="75"/>
      <c r="I100" s="75"/>
      <c r="J100" s="75"/>
      <c r="K100" s="75"/>
      <c r="L100" s="112" t="str">
        <f t="shared" si="5"/>
        <v/>
      </c>
      <c r="M100" s="75"/>
      <c r="N100" s="75"/>
      <c r="O100" s="112" t="str">
        <f t="shared" si="6"/>
        <v/>
      </c>
      <c r="P100" s="75"/>
      <c r="Q100" s="75"/>
      <c r="R100" s="85" t="str">
        <f t="shared" si="7"/>
        <v>Pelotón: el método no permite afirmar su papel</v>
      </c>
      <c r="S100" s="75"/>
      <c r="T100" s="75"/>
      <c r="U100" s="75"/>
      <c r="V100" s="75"/>
      <c r="W100" s="75"/>
      <c r="X100" s="75"/>
      <c r="Y100" s="75"/>
      <c r="Z100" s="75"/>
      <c r="AA100" s="75"/>
      <c r="AB100" s="75"/>
      <c r="AC100" s="75"/>
      <c r="AD100" s="75"/>
      <c r="AE100" s="75"/>
    </row>
    <row r="101" spans="2:31" ht="17" customHeight="1" x14ac:dyDescent="0.2">
      <c r="B101" s="94" t="str">
        <f t="shared" si="4"/>
        <v xml:space="preserve">  </v>
      </c>
      <c r="C101" s="75"/>
      <c r="D101" s="75"/>
      <c r="E101" s="75"/>
      <c r="F101" s="75"/>
      <c r="G101" s="75"/>
      <c r="H101" s="75"/>
      <c r="I101" s="75"/>
      <c r="J101" s="75"/>
      <c r="K101" s="75"/>
      <c r="L101" s="112" t="str">
        <f t="shared" si="5"/>
        <v/>
      </c>
      <c r="M101" s="75"/>
      <c r="N101" s="75"/>
      <c r="O101" s="112" t="str">
        <f t="shared" si="6"/>
        <v/>
      </c>
      <c r="P101" s="75"/>
      <c r="Q101" s="75"/>
      <c r="R101" s="85" t="str">
        <f t="shared" si="7"/>
        <v>Pelotón: el método no permite afirmar su papel</v>
      </c>
      <c r="S101" s="75"/>
      <c r="T101" s="75"/>
      <c r="U101" s="75"/>
      <c r="V101" s="75"/>
      <c r="W101" s="75"/>
      <c r="X101" s="75"/>
      <c r="Y101" s="75"/>
      <c r="Z101" s="75"/>
      <c r="AA101" s="75"/>
      <c r="AB101" s="75"/>
      <c r="AC101" s="75"/>
      <c r="AD101" s="75"/>
      <c r="AE101" s="75"/>
    </row>
    <row r="102" spans="2:31" ht="17" customHeight="1" x14ac:dyDescent="0.2">
      <c r="B102" s="94" t="str">
        <f t="shared" si="4"/>
        <v xml:space="preserve">  </v>
      </c>
      <c r="C102" s="75"/>
      <c r="D102" s="75"/>
      <c r="E102" s="75"/>
      <c r="F102" s="75"/>
      <c r="G102" s="75"/>
      <c r="H102" s="75"/>
      <c r="I102" s="75"/>
      <c r="J102" s="75"/>
      <c r="K102" s="75"/>
      <c r="L102" s="112" t="str">
        <f t="shared" si="5"/>
        <v/>
      </c>
      <c r="M102" s="75"/>
      <c r="N102" s="75"/>
      <c r="O102" s="112" t="str">
        <f t="shared" si="6"/>
        <v/>
      </c>
      <c r="P102" s="75"/>
      <c r="Q102" s="75"/>
      <c r="R102" s="85" t="str">
        <f t="shared" si="7"/>
        <v>Pelotón: el método no permite afirmar su papel</v>
      </c>
      <c r="S102" s="75"/>
      <c r="T102" s="75"/>
      <c r="U102" s="75"/>
      <c r="V102" s="75"/>
      <c r="W102" s="75"/>
      <c r="X102" s="75"/>
      <c r="Y102" s="75"/>
      <c r="Z102" s="75"/>
      <c r="AA102" s="75"/>
      <c r="AB102" s="75"/>
      <c r="AC102" s="75"/>
      <c r="AD102" s="75"/>
      <c r="AE102" s="75"/>
    </row>
    <row r="103" spans="2:31" ht="17" customHeight="1" x14ac:dyDescent="0.2">
      <c r="B103" s="94" t="str">
        <f t="shared" si="4"/>
        <v xml:space="preserve">  </v>
      </c>
      <c r="C103" s="75"/>
      <c r="D103" s="75"/>
      <c r="E103" s="75"/>
      <c r="F103" s="75"/>
      <c r="G103" s="75"/>
      <c r="H103" s="75"/>
      <c r="I103" s="75"/>
      <c r="J103" s="75"/>
      <c r="K103" s="75"/>
      <c r="L103" s="112" t="str">
        <f t="shared" si="5"/>
        <v/>
      </c>
      <c r="M103" s="75"/>
      <c r="N103" s="75"/>
      <c r="O103" s="112" t="str">
        <f t="shared" si="6"/>
        <v/>
      </c>
      <c r="P103" s="75"/>
      <c r="Q103" s="75"/>
      <c r="R103" s="85" t="str">
        <f t="shared" si="7"/>
        <v>Pelotón: el método no permite afirmar su papel</v>
      </c>
      <c r="S103" s="75"/>
      <c r="T103" s="75"/>
      <c r="U103" s="75"/>
      <c r="V103" s="75"/>
      <c r="W103" s="75"/>
      <c r="X103" s="75"/>
      <c r="Y103" s="75"/>
      <c r="Z103" s="75"/>
      <c r="AA103" s="75"/>
      <c r="AB103" s="75"/>
      <c r="AC103" s="75"/>
      <c r="AD103" s="75"/>
      <c r="AE103" s="75"/>
    </row>
    <row r="104" spans="2:31" ht="17" customHeight="1" x14ac:dyDescent="0.2">
      <c r="B104" s="94" t="str">
        <f t="shared" si="4"/>
        <v xml:space="preserve">  </v>
      </c>
      <c r="C104" s="75"/>
      <c r="D104" s="75"/>
      <c r="E104" s="75"/>
      <c r="F104" s="75"/>
      <c r="G104" s="75"/>
      <c r="H104" s="75"/>
      <c r="I104" s="75"/>
      <c r="J104" s="75"/>
      <c r="K104" s="75"/>
      <c r="L104" s="112" t="str">
        <f t="shared" si="5"/>
        <v/>
      </c>
      <c r="M104" s="75"/>
      <c r="N104" s="75"/>
      <c r="O104" s="112" t="str">
        <f t="shared" si="6"/>
        <v/>
      </c>
      <c r="P104" s="75"/>
      <c r="Q104" s="75"/>
      <c r="R104" s="85" t="str">
        <f t="shared" si="7"/>
        <v>Pelotón: el método no permite afirmar su papel</v>
      </c>
      <c r="S104" s="75"/>
      <c r="T104" s="75"/>
      <c r="U104" s="75"/>
      <c r="V104" s="75"/>
      <c r="W104" s="75"/>
      <c r="X104" s="75"/>
      <c r="Y104" s="75"/>
      <c r="Z104" s="75"/>
      <c r="AA104" s="75"/>
      <c r="AB104" s="75"/>
      <c r="AC104" s="75"/>
      <c r="AD104" s="75"/>
      <c r="AE104" s="75"/>
    </row>
    <row r="105" spans="2:31" ht="17" customHeight="1" x14ac:dyDescent="0.2">
      <c r="B105" s="94" t="str">
        <f t="shared" si="4"/>
        <v xml:space="preserve">  </v>
      </c>
      <c r="C105" s="75"/>
      <c r="D105" s="75"/>
      <c r="E105" s="75"/>
      <c r="F105" s="75"/>
      <c r="G105" s="75"/>
      <c r="H105" s="75"/>
      <c r="I105" s="75"/>
      <c r="J105" s="75"/>
      <c r="K105" s="75"/>
      <c r="L105" s="112" t="str">
        <f t="shared" si="5"/>
        <v/>
      </c>
      <c r="M105" s="75"/>
      <c r="N105" s="75"/>
      <c r="O105" s="112" t="str">
        <f t="shared" si="6"/>
        <v/>
      </c>
      <c r="P105" s="75"/>
      <c r="Q105" s="75"/>
      <c r="R105" s="85" t="str">
        <f t="shared" si="7"/>
        <v>Pelotón: el método no permite afirmar su papel</v>
      </c>
      <c r="S105" s="75"/>
      <c r="T105" s="75"/>
      <c r="U105" s="75"/>
      <c r="V105" s="75"/>
      <c r="W105" s="75"/>
      <c r="X105" s="75"/>
      <c r="Y105" s="75"/>
      <c r="Z105" s="75"/>
      <c r="AA105" s="75"/>
      <c r="AB105" s="75"/>
      <c r="AC105" s="75"/>
      <c r="AD105" s="75"/>
      <c r="AE105" s="75"/>
    </row>
    <row r="106" spans="2:31" ht="17" customHeight="1" x14ac:dyDescent="0.2">
      <c r="B106" s="94" t="str">
        <f t="shared" si="4"/>
        <v xml:space="preserve">  </v>
      </c>
      <c r="C106" s="75"/>
      <c r="D106" s="75"/>
      <c r="E106" s="75"/>
      <c r="F106" s="75"/>
      <c r="G106" s="75"/>
      <c r="H106" s="75"/>
      <c r="I106" s="75"/>
      <c r="J106" s="75"/>
      <c r="K106" s="75"/>
      <c r="L106" s="112" t="str">
        <f t="shared" si="5"/>
        <v/>
      </c>
      <c r="M106" s="75"/>
      <c r="N106" s="75"/>
      <c r="O106" s="112" t="str">
        <f t="shared" si="6"/>
        <v/>
      </c>
      <c r="P106" s="75"/>
      <c r="Q106" s="75"/>
      <c r="R106" s="85" t="str">
        <f t="shared" si="7"/>
        <v>Pelotón: el método no permite afirmar su papel</v>
      </c>
      <c r="S106" s="75"/>
      <c r="T106" s="75"/>
      <c r="U106" s="75"/>
      <c r="V106" s="75"/>
      <c r="W106" s="75"/>
      <c r="X106" s="75"/>
      <c r="Y106" s="75"/>
      <c r="Z106" s="75"/>
      <c r="AA106" s="75"/>
      <c r="AB106" s="75"/>
      <c r="AC106" s="75"/>
      <c r="AD106" s="75"/>
      <c r="AE106" s="75"/>
    </row>
    <row r="108" spans="2:31" x14ac:dyDescent="0.2">
      <c r="B108" s="77" t="s">
        <v>263</v>
      </c>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row>
    <row r="109" spans="2:31" ht="22" customHeight="1" x14ac:dyDescent="0.2">
      <c r="B109" s="29" t="str">
        <f>IF(Var_N&lt;2,"",IF(OR(Ind_Densidad&lt;0.2,Ind_Densidad&gt;0.25),"⚠",""))</f>
        <v>⚠</v>
      </c>
      <c r="C109" s="85" t="str">
        <f>IF(Var_N&lt;2,"",IF(OR(Ind_Densidad&lt;0.2,Ind_Densidad&gt;0.25),"Densidad del "&amp;ROUND(Ind_Densidad*100,1)&amp;" %, fuera del rango habitual del 20 % al 25 %.",""))</f>
        <v>Densidad del 0 %, fuera del rango habitual del 20 % al 25 %.</v>
      </c>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row>
    <row r="110" spans="2:31" ht="22" customHeight="1" x14ac:dyDescent="0.2">
      <c r="B110" s="29" t="str">
        <f>IF(Var_N&lt;2,"",IF(IF(Ind_NoNulas=0,0,COUNTIF('04 · Matriz'!$C$6:$AA$30,3)/Ind_NoNulas)&gt;0.6,"⚠",""))</f>
        <v/>
      </c>
      <c r="C110" s="85" t="str">
        <f>IF(Var_N&lt;2,"",IF(IF(Ind_NoNulas=0,0,COUNTIF('04 · Matriz'!$C$6:$AA$30,3)/Ind_NoNulas)&gt;0.6,"El "&amp;ROUND(IF(Ind_NoNulas=0,0,COUNTIF('04 · Matriz'!$C$6:$AA$30,3)/Ind_NoNulas)*100,0)&amp;" % de las relaciones se valoraron como 3: el panel puede no estar distinguiendo intensidades.",""))</f>
        <v/>
      </c>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row>
    <row r="111" spans="2:31" ht="22" customHeight="1" x14ac:dyDescent="0.2">
      <c r="B111" s="29" t="str">
        <f>IF(Var_N&lt;2,"",IF(IF(Var_N&lt;2,0,SUMPRODUCT((Res_Motricidad=0)*(ROW(Res_Motricidad)-ROW(INDEX(Res_Motricidad,1))+1&lt;=Var_N))+SUMPRODUCT((Res_Dependencia=0)*(ROW(Res_Dependencia)-ROW(INDEX(Res_Dependencia,1))+1&lt;=Var_N)))&gt;0,"⚠",""))</f>
        <v/>
      </c>
      <c r="C111" s="85" t="str">
        <f>IF(Var_N&lt;2,"",IF(IF(Var_N&lt;2,0,SUMPRODUCT((Res_Motricidad=0)*(ROW(Res_Motricidad)-ROW(INDEX(Res_Motricidad,1))+1&lt;=Var_N))+SUMPRODUCT((Res_Dependencia=0)*(ROW(Res_Dependencia)-ROW(INDEX(Res_Dependencia,1))+1&lt;=Var_N)))&gt;0,IF(Var_N&lt;2,0,SUMPRODUCT((Res_Motricidad=0)*(ROW(Res_Motricidad)-ROW(INDEX(Res_Motricidad,1))+1&lt;=Var_N))+SUMPRODUCT((Res_Dependencia=0)*(ROW(Res_Dependencia)-ROW(INDEX(Res_Dependencia,1))+1&lt;=Var_N)))&amp;IF(IF(Var_N&lt;2,0,SUMPRODUCT((Res_Motricidad=0)*(ROW(Res_Motricidad)-ROW(INDEX(Res_Motricidad,1))+1&lt;=Var_N))+SUMPRODUCT((Res_Dependencia=0)*(ROW(Res_Dependencia)-ROW(INDEX(Res_Dependencia,1))+1&lt;=Var_N)))=1," factor quedó aislado"," factores quedaron aislados")&amp;" en la matriz.",""))</f>
        <v/>
      </c>
      <c r="D111" s="75"/>
      <c r="E111" s="75"/>
      <c r="F111" s="75"/>
      <c r="G111" s="75"/>
      <c r="H111" s="75"/>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row>
    <row r="112" spans="2:31" ht="22" customHeight="1" x14ac:dyDescent="0.2">
      <c r="B112" s="29" t="str">
        <f>IF(Var_N&lt;2,"",IF(SUMPRODUCT(('02 · Variables'!$C$7:$C$31&lt;&gt;"")*(COUNTIF('02 · Variables'!$C$7:$C$31,LEFT('02 · Variables'!$C$7:$C$31,12)&amp;"*")&gt;1))-SUMPRODUCT(('02 · Variables'!$C$7:$C$31&lt;&gt;"")*(COUNTIF('02 · Variables'!$C$7:$C$31,'02 · Variables'!$C$7:$C$31&amp;"")&gt;1))&gt;0,"⚠",""))</f>
        <v/>
      </c>
      <c r="C112" s="85" t="str">
        <f>IF(Var_N&lt;2,"",IF(SUMPRODUCT(('02 · Variables'!$C$7:$C$31&lt;&gt;"")*(COUNTIF('02 · Variables'!$C$7:$C$31,LEFT('02 · Variables'!$C$7:$C$31,12)&amp;"*")&gt;1))-SUMPRODUCT(('02 · Variables'!$C$7:$C$31&lt;&gt;"")*(COUNTIF('02 · Variables'!$C$7:$C$31,'02 · Variables'!$C$7:$C$31&amp;"")&gt;1))&gt;0,SUMPRODUCT(('02 · Variables'!$C$7:$C$31&lt;&gt;"")*(COUNTIF('02 · Variables'!$C$7:$C$31,LEFT('02 · Variables'!$C$7:$C$31,12)&amp;"*")&gt;1))-SUMPRODUCT(('02 · Variables'!$C$7:$C$31&lt;&gt;"")*(COUNTIF('02 · Variables'!$C$7:$C$31,'02 · Variables'!$C$7:$C$31&amp;"")&gt;1))&amp;IF(SUMPRODUCT(('02 · Variables'!$C$7:$C$31&lt;&gt;"")*(COUNTIF('02 · Variables'!$C$7:$C$31,LEFT('02 · Variables'!$C$7:$C$31,12)&amp;"*")&gt;1))-SUMPRODUCT(('02 · Variables'!$C$7:$C$31&lt;&gt;"")*(COUNTIF('02 · Variables'!$C$7:$C$31,'02 · Variables'!$C$7:$C$31&amp;"")&gt;1))=1," nombre de factor resulta casi idéntico a otro"," nombres de factor resultan casi idénticos entre sí")&amp;".",""))</f>
        <v/>
      </c>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row>
    <row r="113" spans="2:31" ht="22" customHeight="1" x14ac:dyDescent="0.2">
      <c r="B113" s="29" t="str">
        <f>IF(Var_N&lt;2,"",IF(COUNTIF(Res_Tipologia,"5 · Pelotón (no concluyente)")&gt;Var_N*0.4,"⚠",""))</f>
        <v/>
      </c>
      <c r="C113" s="85" t="str">
        <f>IF(Var_N&lt;2,"",IF(COUNTIF(Res_Tipologia,"5 · Pelotón (no concluyente)")&gt;Var_N*0.4,COUNTIF(Res_Tipologia,"5 · Pelotón (no concluyente)")&amp;" factores caen en la zona de indeterminación: el plano discrimina poco.",""))</f>
        <v/>
      </c>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row>
    <row r="114" spans="2:31" ht="22" customHeight="1" x14ac:dyDescent="0.2">
      <c r="B114" s="29" t="str">
        <f>IF(Var_N&lt;2,"",IF(OR((IF(OR('03 · Criterio'!$D$13="",OR('03 · Criterio'!$D$13=0,'03 · Criterio'!$D$13="0")),0,1)+IF(OR('03 · Criterio'!$D$15="",OR('03 · Criterio'!$D$15=0,'03 · Criterio'!$D$15="0")),0,1))&gt;0,IF(OR('03 · Criterio'!$D$19="",OR('03 · Criterio'!$D$19=4,'03 · Criterio'!$D$19="4")),0,1)&gt;0),"⚠",""))</f>
        <v/>
      </c>
      <c r="C114" s="85" t="str">
        <f>IF(Var_N&lt;2,"",IF(OR((IF(OR('03 · Criterio'!$D$13="",OR('03 · Criterio'!$D$13=0,'03 · Criterio'!$D$13="0")),0,1)+IF(OR('03 · Criterio'!$D$15="",OR('03 · Criterio'!$D$15=0,'03 · Criterio'!$D$15="0")),0,1))&gt;0,IF(OR('03 · Criterio'!$D$19="",OR('03 · Criterio'!$D$19=4,'03 · Criterio'!$D$19="4")),0,1)&gt;0),"Durante la calibración el panel resolvió algún caso de forma incoherente con el método.",""))</f>
        <v/>
      </c>
      <c r="D114" s="75"/>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row>
    <row r="115" spans="2:31" ht="24" customHeight="1" x14ac:dyDescent="0.2">
      <c r="B115" s="97" t="str">
        <f>IF(Var_N&lt;2,"",IF((OR(Ind_Densidad&lt;0.2,Ind_Densidad&gt;0.25))*1+(IF(Ind_NoNulas=0,0,COUNTIF('04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Criterio'!$D$19="4")),0,1)&gt;0))*1=0,"● Ninguna situación atípica. La lectura puede darse por buena.",IF((OR(Ind_Densidad&lt;0.2,Ind_Densidad&gt;0.25))*1+(IF(Ind_NoNulas=0,0,COUNTIF('04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Criterio'!$D$19="4")),0,1)&gt;0))*1=1,"● 1 situación merece una explicación en el informe","● "&amp;(OR(Ind_Densidad&lt;0.2,Ind_Densidad&gt;0.25))*1+(IF(Ind_NoNulas=0,0,COUNTIF('04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Criterio'!$D$19="4")),0,1)&gt;0))*1&amp;" situaciones merecen una explicación en el informe")))</f>
        <v>● 1 situación merece una explicación en el informe</v>
      </c>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row>
    <row r="117" spans="2:31" ht="20" customHeight="1" x14ac:dyDescent="0.2">
      <c r="B117" s="77" t="s">
        <v>264</v>
      </c>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row>
    <row r="118" spans="2:31" ht="20" customHeight="1" x14ac:dyDescent="0.2">
      <c r="B118" s="85" t="s">
        <v>265</v>
      </c>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row>
    <row r="119" spans="2:31" ht="20" customHeight="1" x14ac:dyDescent="0.2">
      <c r="B119" s="85" t="s">
        <v>266</v>
      </c>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row>
    <row r="120" spans="2:31" ht="20" customHeight="1" x14ac:dyDescent="0.2">
      <c r="B120" s="85" t="s">
        <v>267</v>
      </c>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row>
    <row r="122" spans="2:31" ht="10" customHeight="1" x14ac:dyDescent="0.2">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row>
    <row r="123" spans="2:31" ht="18" customHeight="1" x14ac:dyDescent="0.2">
      <c r="B123" s="77" t="s">
        <v>152</v>
      </c>
      <c r="C123" s="75"/>
      <c r="D123" s="77" t="s">
        <v>153</v>
      </c>
      <c r="E123" s="75"/>
      <c r="F123" s="77" t="s">
        <v>154</v>
      </c>
      <c r="G123" s="75"/>
    </row>
    <row r="124" spans="2:31" ht="40" customHeight="1" x14ac:dyDescent="0.2">
      <c r="B124" s="94" t="str">
        <f>"Ha leído la interpretación de sus "&amp;Var_N&amp;" factores."</f>
        <v>Ha leído la interpretación de sus 25 factores.</v>
      </c>
      <c r="C124" s="75"/>
      <c r="D124" s="94" t="str">
        <f>"Revisar qué puntos del estudio merecen una segunda mirada."</f>
        <v>Revisar qué puntos del estudio merecen una segunda mirada.</v>
      </c>
      <c r="E124" s="75"/>
      <c r="F124" s="94" t="str">
        <f>"Dos pasos. Quince minutos."</f>
        <v>Dos pasos. Quince minutos.</v>
      </c>
      <c r="G124" s="75"/>
    </row>
    <row r="126" spans="2:31" ht="32" customHeight="1" x14ac:dyDescent="0.2">
      <c r="B126" s="82" t="s">
        <v>268</v>
      </c>
      <c r="C126" s="82"/>
      <c r="D126" s="82"/>
    </row>
  </sheetData>
  <sheetProtection password="CD7E" sheet="1" formatCells="0" formatColumns="0" formatRows="0" insertRows="0"/>
  <mergeCells count="308">
    <mergeCell ref="B126:D126"/>
    <mergeCell ref="B118:AE118"/>
    <mergeCell ref="B119:AE119"/>
    <mergeCell ref="B120:AE120"/>
    <mergeCell ref="B123:C123"/>
    <mergeCell ref="B124:C124"/>
    <mergeCell ref="D123:E123"/>
    <mergeCell ref="D124:E124"/>
    <mergeCell ref="F123:G123"/>
    <mergeCell ref="F124:G124"/>
    <mergeCell ref="B108:AE108"/>
    <mergeCell ref="C109:AE109"/>
    <mergeCell ref="C110:AE110"/>
    <mergeCell ref="C111:AE111"/>
    <mergeCell ref="C112:AE112"/>
    <mergeCell ref="C113:AE113"/>
    <mergeCell ref="C114:AE114"/>
    <mergeCell ref="B115:AE115"/>
    <mergeCell ref="B117:AE117"/>
    <mergeCell ref="B104:K104"/>
    <mergeCell ref="L104:N104"/>
    <mergeCell ref="O104:Q104"/>
    <mergeCell ref="R104:AE104"/>
    <mergeCell ref="B105:K105"/>
    <mergeCell ref="L105:N105"/>
    <mergeCell ref="O105:Q105"/>
    <mergeCell ref="R105:AE105"/>
    <mergeCell ref="B106:K106"/>
    <mergeCell ref="L106:N106"/>
    <mergeCell ref="O106:Q106"/>
    <mergeCell ref="R106:AE106"/>
    <mergeCell ref="B101:K101"/>
    <mergeCell ref="L101:N101"/>
    <mergeCell ref="O101:Q101"/>
    <mergeCell ref="R101:AE101"/>
    <mergeCell ref="B102:K102"/>
    <mergeCell ref="L102:N102"/>
    <mergeCell ref="O102:Q102"/>
    <mergeCell ref="R102:AE102"/>
    <mergeCell ref="B103:K103"/>
    <mergeCell ref="L103:N103"/>
    <mergeCell ref="O103:Q103"/>
    <mergeCell ref="R103:AE103"/>
    <mergeCell ref="B98:K98"/>
    <mergeCell ref="L98:N98"/>
    <mergeCell ref="O98:Q98"/>
    <mergeCell ref="R98:AE98"/>
    <mergeCell ref="B99:K99"/>
    <mergeCell ref="L99:N99"/>
    <mergeCell ref="O99:Q99"/>
    <mergeCell ref="R99:AE99"/>
    <mergeCell ref="B100:K100"/>
    <mergeCell ref="L100:N100"/>
    <mergeCell ref="O100:Q100"/>
    <mergeCell ref="R100:AE100"/>
    <mergeCell ref="B95:K95"/>
    <mergeCell ref="L95:N95"/>
    <mergeCell ref="O95:Q95"/>
    <mergeCell ref="R95:AE95"/>
    <mergeCell ref="B96:K96"/>
    <mergeCell ref="L96:N96"/>
    <mergeCell ref="O96:Q96"/>
    <mergeCell ref="R96:AE96"/>
    <mergeCell ref="B97:K97"/>
    <mergeCell ref="L97:N97"/>
    <mergeCell ref="O97:Q97"/>
    <mergeCell ref="R97:AE97"/>
    <mergeCell ref="B92:K92"/>
    <mergeCell ref="L92:N92"/>
    <mergeCell ref="O92:Q92"/>
    <mergeCell ref="R92:AE92"/>
    <mergeCell ref="B93:K93"/>
    <mergeCell ref="L93:N93"/>
    <mergeCell ref="O93:Q93"/>
    <mergeCell ref="R93:AE93"/>
    <mergeCell ref="B94:K94"/>
    <mergeCell ref="L94:N94"/>
    <mergeCell ref="O94:Q94"/>
    <mergeCell ref="R94:AE94"/>
    <mergeCell ref="B89:K89"/>
    <mergeCell ref="L89:N89"/>
    <mergeCell ref="O89:Q89"/>
    <mergeCell ref="R89:AE89"/>
    <mergeCell ref="B90:K90"/>
    <mergeCell ref="L90:N90"/>
    <mergeCell ref="O90:Q90"/>
    <mergeCell ref="R90:AE90"/>
    <mergeCell ref="B91:K91"/>
    <mergeCell ref="L91:N91"/>
    <mergeCell ref="O91:Q91"/>
    <mergeCell ref="R91:AE91"/>
    <mergeCell ref="B86:K86"/>
    <mergeCell ref="L86:N86"/>
    <mergeCell ref="O86:Q86"/>
    <mergeCell ref="R86:AE86"/>
    <mergeCell ref="B87:K87"/>
    <mergeCell ref="L87:N87"/>
    <mergeCell ref="O87:Q87"/>
    <mergeCell ref="R87:AE87"/>
    <mergeCell ref="B88:K88"/>
    <mergeCell ref="L88:N88"/>
    <mergeCell ref="O88:Q88"/>
    <mergeCell ref="R88:AE88"/>
    <mergeCell ref="B83:K83"/>
    <mergeCell ref="L83:N83"/>
    <mergeCell ref="O83:Q83"/>
    <mergeCell ref="R83:AE83"/>
    <mergeCell ref="B84:K84"/>
    <mergeCell ref="L84:N84"/>
    <mergeCell ref="O84:Q84"/>
    <mergeCell ref="R84:AE84"/>
    <mergeCell ref="B85:K85"/>
    <mergeCell ref="L85:N85"/>
    <mergeCell ref="O85:Q85"/>
    <mergeCell ref="R85:AE85"/>
    <mergeCell ref="B80:AE80"/>
    <mergeCell ref="B81:K81"/>
    <mergeCell ref="L81:N81"/>
    <mergeCell ref="O81:Q81"/>
    <mergeCell ref="R81:AE81"/>
    <mergeCell ref="B82:K82"/>
    <mergeCell ref="L82:N82"/>
    <mergeCell ref="O82:Q82"/>
    <mergeCell ref="R82:AE82"/>
    <mergeCell ref="B76:M76"/>
    <mergeCell ref="N76:P76"/>
    <mergeCell ref="Q76:S76"/>
    <mergeCell ref="T76:AE76"/>
    <mergeCell ref="B77:M77"/>
    <mergeCell ref="N77:P77"/>
    <mergeCell ref="Q77:S77"/>
    <mergeCell ref="T77:AE77"/>
    <mergeCell ref="B78:M78"/>
    <mergeCell ref="N78:P78"/>
    <mergeCell ref="Q78:S78"/>
    <mergeCell ref="T78:AE78"/>
    <mergeCell ref="B73:M73"/>
    <mergeCell ref="N73:P73"/>
    <mergeCell ref="Q73:S73"/>
    <mergeCell ref="T73:AE73"/>
    <mergeCell ref="B74:M74"/>
    <mergeCell ref="N74:P74"/>
    <mergeCell ref="Q74:S74"/>
    <mergeCell ref="T74:AE74"/>
    <mergeCell ref="B75:M75"/>
    <mergeCell ref="N75:P75"/>
    <mergeCell ref="Q75:S75"/>
    <mergeCell ref="T75:AE75"/>
    <mergeCell ref="B70:M70"/>
    <mergeCell ref="N70:P70"/>
    <mergeCell ref="Q70:S70"/>
    <mergeCell ref="T70:AE70"/>
    <mergeCell ref="B71:M71"/>
    <mergeCell ref="N71:P71"/>
    <mergeCell ref="Q71:S71"/>
    <mergeCell ref="T71:AE71"/>
    <mergeCell ref="B72:M72"/>
    <mergeCell ref="N72:P72"/>
    <mergeCell ref="Q72:S72"/>
    <mergeCell ref="T72:AE72"/>
    <mergeCell ref="B67:M67"/>
    <mergeCell ref="N67:P67"/>
    <mergeCell ref="Q67:S67"/>
    <mergeCell ref="T67:AE67"/>
    <mergeCell ref="B68:M68"/>
    <mergeCell ref="N68:P68"/>
    <mergeCell ref="Q68:S68"/>
    <mergeCell ref="T68:AE68"/>
    <mergeCell ref="B69:M69"/>
    <mergeCell ref="N69:P69"/>
    <mergeCell ref="Q69:S69"/>
    <mergeCell ref="T69:AE69"/>
    <mergeCell ref="B64:M64"/>
    <mergeCell ref="N64:P64"/>
    <mergeCell ref="Q64:S64"/>
    <mergeCell ref="T64:AE64"/>
    <mergeCell ref="B65:M65"/>
    <mergeCell ref="N65:P65"/>
    <mergeCell ref="Q65:S65"/>
    <mergeCell ref="T65:AE65"/>
    <mergeCell ref="B66:M66"/>
    <mergeCell ref="N66:P66"/>
    <mergeCell ref="Q66:S66"/>
    <mergeCell ref="T66:AE66"/>
    <mergeCell ref="B61:M61"/>
    <mergeCell ref="N61:P61"/>
    <mergeCell ref="Q61:S61"/>
    <mergeCell ref="T61:AE61"/>
    <mergeCell ref="B62:M62"/>
    <mergeCell ref="N62:P62"/>
    <mergeCell ref="Q62:S62"/>
    <mergeCell ref="T62:AE62"/>
    <mergeCell ref="B63:M63"/>
    <mergeCell ref="N63:P63"/>
    <mergeCell ref="Q63:S63"/>
    <mergeCell ref="T63:AE63"/>
    <mergeCell ref="B58:M58"/>
    <mergeCell ref="N58:P58"/>
    <mergeCell ref="Q58:S58"/>
    <mergeCell ref="T58:AE58"/>
    <mergeCell ref="B59:M59"/>
    <mergeCell ref="N59:P59"/>
    <mergeCell ref="Q59:S59"/>
    <mergeCell ref="T59:AE59"/>
    <mergeCell ref="B60:M60"/>
    <mergeCell ref="N60:P60"/>
    <mergeCell ref="Q60:S60"/>
    <mergeCell ref="T60:AE60"/>
    <mergeCell ref="B55:M55"/>
    <mergeCell ref="N55:P55"/>
    <mergeCell ref="Q55:S55"/>
    <mergeCell ref="T55:AE55"/>
    <mergeCell ref="B56:M56"/>
    <mergeCell ref="N56:P56"/>
    <mergeCell ref="Q56:S56"/>
    <mergeCell ref="T56:AE56"/>
    <mergeCell ref="B57:M57"/>
    <mergeCell ref="N57:P57"/>
    <mergeCell ref="Q57:S57"/>
    <mergeCell ref="T57:AE57"/>
    <mergeCell ref="B52:AE52"/>
    <mergeCell ref="B53:M53"/>
    <mergeCell ref="N53:P53"/>
    <mergeCell ref="Q53:S53"/>
    <mergeCell ref="T53:AE53"/>
    <mergeCell ref="B54:M54"/>
    <mergeCell ref="N54:P54"/>
    <mergeCell ref="Q54:S54"/>
    <mergeCell ref="T54:AE54"/>
    <mergeCell ref="C48:L48"/>
    <mergeCell ref="M48:O48"/>
    <mergeCell ref="R48:AA48"/>
    <mergeCell ref="AB48:AE48"/>
    <mergeCell ref="C49:L49"/>
    <mergeCell ref="M49:O49"/>
    <mergeCell ref="R49:AA49"/>
    <mergeCell ref="AB49:AE49"/>
    <mergeCell ref="B51:AE51"/>
    <mergeCell ref="C45:L45"/>
    <mergeCell ref="M45:O45"/>
    <mergeCell ref="R45:AA45"/>
    <mergeCell ref="AB45:AE45"/>
    <mergeCell ref="C46:L46"/>
    <mergeCell ref="M46:O46"/>
    <mergeCell ref="R46:AA46"/>
    <mergeCell ref="AB46:AE46"/>
    <mergeCell ref="C47:L47"/>
    <mergeCell ref="M47:O47"/>
    <mergeCell ref="R47:AA47"/>
    <mergeCell ref="AB47:AE47"/>
    <mergeCell ref="B40:G40"/>
    <mergeCell ref="H40:I40"/>
    <mergeCell ref="J40:AE40"/>
    <mergeCell ref="B42:AE42"/>
    <mergeCell ref="B43:O43"/>
    <mergeCell ref="Q43:AE43"/>
    <mergeCell ref="C44:L44"/>
    <mergeCell ref="M44:O44"/>
    <mergeCell ref="R44:AA44"/>
    <mergeCell ref="AB44:AE44"/>
    <mergeCell ref="B37:G37"/>
    <mergeCell ref="H37:I37"/>
    <mergeCell ref="J37:AE37"/>
    <mergeCell ref="B38:G38"/>
    <mergeCell ref="H38:I38"/>
    <mergeCell ref="J38:AE38"/>
    <mergeCell ref="B39:G39"/>
    <mergeCell ref="H39:I39"/>
    <mergeCell ref="J39:AE39"/>
    <mergeCell ref="B18:AE18"/>
    <mergeCell ref="B19:AE19"/>
    <mergeCell ref="C20:K20"/>
    <mergeCell ref="L20:T20"/>
    <mergeCell ref="C33:K33"/>
    <mergeCell ref="L33:Q33"/>
    <mergeCell ref="R33:AE33"/>
    <mergeCell ref="B35:AE35"/>
    <mergeCell ref="B36:G36"/>
    <mergeCell ref="H36:I36"/>
    <mergeCell ref="J36:AE36"/>
    <mergeCell ref="B15:G15"/>
    <mergeCell ref="B16:G16"/>
    <mergeCell ref="H15:M15"/>
    <mergeCell ref="H16:M16"/>
    <mergeCell ref="N15:S15"/>
    <mergeCell ref="N16:S16"/>
    <mergeCell ref="T15:Y15"/>
    <mergeCell ref="T16:Y16"/>
    <mergeCell ref="Z15:AE15"/>
    <mergeCell ref="Z16:AE16"/>
    <mergeCell ref="B3:AE3"/>
    <mergeCell ref="B4:AE4"/>
    <mergeCell ref="B5:AE5"/>
    <mergeCell ref="B7:AE7"/>
    <mergeCell ref="B8:AE8"/>
    <mergeCell ref="B10:AE10"/>
    <mergeCell ref="B11:AE11"/>
    <mergeCell ref="B12:AE12"/>
    <mergeCell ref="B14:AE14"/>
    <mergeCell ref="B1:O1"/>
    <mergeCell ref="B2:E2"/>
    <mergeCell ref="F2:I2"/>
    <mergeCell ref="J2:M2"/>
    <mergeCell ref="N2:Q2"/>
    <mergeCell ref="R2:U2"/>
    <mergeCell ref="V2:Y2"/>
    <mergeCell ref="Z2:AA2"/>
    <mergeCell ref="AB2:AE2"/>
  </mergeCells>
  <hyperlinks>
    <hyperlink ref="B2" location="'01 · Encuadre'!A1" display="Encuadre" xr:uid="{00000000-0004-0000-0500-000000000000}"/>
    <hyperlink ref="F2" location="'02 · Variables'!A1" display="Variables" xr:uid="{00000000-0004-0000-0500-000001000000}"/>
    <hyperlink ref="J2" location="'03 · Criterio'!A1" display="Criterio" xr:uid="{00000000-0004-0000-0500-000002000000}"/>
    <hyperlink ref="N2" location="'04 · Matriz'!A1" display="Matriz" xr:uid="{00000000-0004-0000-0500-000003000000}"/>
    <hyperlink ref="R2" location="'05 · Resultado'!A1" display="Resultado" xr:uid="{00000000-0004-0000-0500-000004000000}"/>
    <hyperlink ref="V2" location="'Comprobación'!A1" display="Revisión" xr:uid="{00000000-0004-0000-0500-000005000000}"/>
    <hyperlink ref="Z2" location="'06 · Informe'!A1" display="Informe" xr:uid="{00000000-0004-0000-0500-000006000000}"/>
    <hyperlink ref="AB2" location="Inicio!A1" display="Inicio" xr:uid="{00000000-0004-0000-0500-000007000000}"/>
    <hyperlink ref="B126" location="'Comprobación'!A1" display="CONTINUAR AL PASO 6   ▶" xr:uid="{00000000-0004-0000-0500-000008000000}"/>
  </hyperlinks>
  <pageMargins left="0.4" right="0.4" top="0.5" bottom="0.5" header="0.3" footer="0.3"/>
  <pageSetup paperSize="9" fitToHeight="0" orientation="landscape"/>
  <headerFooter>
    <oddFooter>&amp;L&amp;"Aptos,Regular"&amp;8&amp;K94A0AEIntelKIT · MICMAC Essentials v1.0&amp;R&amp;"Aptos,Regular"&amp;8&amp;K94A0AEPágina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A3F9E"/>
    <pageSetUpPr fitToPage="1"/>
  </sheetPr>
  <dimension ref="A1:AJ68"/>
  <sheetViews>
    <sheetView showGridLines="0" tabSelected="1" zoomScaleNormal="100" workbookViewId="0">
      <pane ySplit="6" topLeftCell="A44" activePane="bottomLeft" state="frozen"/>
      <selection pane="bottomLeft"/>
    </sheetView>
  </sheetViews>
  <sheetFormatPr baseColWidth="10" defaultRowHeight="15" x14ac:dyDescent="0.2"/>
  <cols>
    <col min="1" max="1" width="3" customWidth="1"/>
    <col min="2" max="31" width="3.33203125" customWidth="1"/>
    <col min="32" max="36" width="3" hidden="1" customWidth="1"/>
  </cols>
  <sheetData>
    <row r="1" spans="1:36" ht="28" customHeight="1" x14ac:dyDescent="0.2">
      <c r="A1" s="36"/>
      <c r="B1" s="73" t="s">
        <v>94</v>
      </c>
      <c r="C1" s="73"/>
      <c r="D1" s="73"/>
      <c r="E1" s="73"/>
      <c r="F1" s="73"/>
      <c r="G1" s="73"/>
      <c r="H1" s="73"/>
      <c r="I1" s="73"/>
      <c r="J1" s="73"/>
      <c r="K1" s="73"/>
      <c r="L1" s="73"/>
      <c r="M1" s="73"/>
      <c r="N1" s="73"/>
      <c r="O1" s="73"/>
      <c r="P1" s="36"/>
      <c r="Q1" s="36"/>
      <c r="R1" s="36"/>
      <c r="S1" s="36"/>
      <c r="T1" s="36"/>
      <c r="U1" s="36"/>
      <c r="V1" s="36"/>
      <c r="W1" s="36"/>
      <c r="X1" s="36"/>
      <c r="Y1" s="36"/>
      <c r="Z1" s="36"/>
      <c r="AA1" s="36"/>
      <c r="AB1" s="36"/>
      <c r="AC1" s="36"/>
      <c r="AD1" s="36"/>
      <c r="AE1" s="37" t="s">
        <v>269</v>
      </c>
    </row>
    <row r="2" spans="1:36" ht="24" customHeight="1" x14ac:dyDescent="0.2">
      <c r="B2" s="105" t="str">
        <f>IF(COUNTA('01 · Encuadre'!$B$10,'01 · Encuadre'!$B$14,'01 · Encuadre'!$B$18,'01 · Encuadre'!$B$22)=4,"✓ 1 · Encuadre","1 · Encuadre")</f>
        <v>✓ 1 · Encuadre</v>
      </c>
      <c r="C2" s="106"/>
      <c r="D2" s="106"/>
      <c r="E2" s="106"/>
      <c r="F2" s="105" t="str">
        <f>IF(COUNTA('02 · Variables'!$C$7:$C$31)&gt;=8,"✓ 2 · Variables","2 · Variables")</f>
        <v>✓ 2 · Variables</v>
      </c>
      <c r="G2" s="106"/>
      <c r="H2" s="106"/>
      <c r="I2" s="106"/>
      <c r="J2" s="105" t="str">
        <f>IF(COUNTA('03 · Criterio'!$D$9:$D$23)=8,"✓ 3 · Criterio","3 · Criterio")</f>
        <v>✓ 3 · Criterio</v>
      </c>
      <c r="K2" s="106"/>
      <c r="L2" s="106"/>
      <c r="M2" s="106"/>
      <c r="N2" s="105" t="str">
        <f>IF((SUMPRODUCT((ROW('04 · Matriz'!$C$6:$AA$30)-5&lt;=Var_N)*(COLUMN('04 · Matriz'!$C$6:$AA$30)-2&lt;=Var_N)*('04 · Matriz'!$C$6:$AA$30&lt;&gt;""))-Var_N&gt;=Ind_Preguntas),"✓ 4 · Matriz","4 · Matriz")</f>
        <v>4 · Matriz</v>
      </c>
      <c r="O2" s="106"/>
      <c r="P2" s="106"/>
      <c r="Q2" s="106"/>
      <c r="R2" s="105" t="str">
        <f>IF((SUMPRODUCT((ROW('04 · Matriz'!$C$6:$AA$30)-5&lt;=Var_N)*(COLUMN('04 · Matriz'!$C$6:$AA$30)-2&lt;=Var_N)*('04 · Matriz'!$C$6:$AA$30&lt;&gt;""))-Var_N&gt;=Ind_Preguntas),"✓ 5 · Resultado","5 · Resultado")</f>
        <v>5 · Resultado</v>
      </c>
      <c r="S2" s="106"/>
      <c r="T2" s="106"/>
      <c r="U2" s="106"/>
      <c r="V2" s="105" t="str">
        <f>IF((SUMPRODUCT((ROW('04 · Matriz'!$C$6:$AA$30)-5&lt;=Var_N)*(COLUMN('04 · Matriz'!$C$6:$AA$30)-2&lt;=Var_N)*('04 · Matriz'!$C$6:$AA$30&lt;&gt;""))-Var_N&gt;=Ind_Preguntas),"✓ 6 · Revisión","6 · Revisión")</f>
        <v>6 · Revisión</v>
      </c>
      <c r="W2" s="106"/>
      <c r="X2" s="106"/>
      <c r="Y2" s="106"/>
      <c r="Z2" s="107" t="s">
        <v>270</v>
      </c>
      <c r="AA2" s="106"/>
      <c r="AB2" s="106" t="s">
        <v>135</v>
      </c>
      <c r="AC2" s="106"/>
      <c r="AD2" s="106"/>
      <c r="AE2" s="106"/>
    </row>
    <row r="3" spans="1:36" ht="38" customHeight="1" x14ac:dyDescent="0.2">
      <c r="B3" s="76" t="s">
        <v>271</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row>
    <row r="4" spans="1:36" ht="24" customHeight="1" x14ac:dyDescent="0.2">
      <c r="B4" s="88" t="s">
        <v>272</v>
      </c>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row>
    <row r="5" spans="1:36" ht="30" customHeight="1" x14ac:dyDescent="0.2">
      <c r="B5" s="89" t="s">
        <v>273</v>
      </c>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row>
    <row r="6" spans="1:36" ht="10" customHeight="1" x14ac:dyDescent="0.2">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row>
    <row r="8" spans="1:36" ht="18" customHeight="1" x14ac:dyDescent="0.2">
      <c r="B8" s="115" t="s">
        <v>274</v>
      </c>
      <c r="C8" s="115"/>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50">
        <f ca="1">IF(1&gt;Var_N,"",COUNTIF(Res_Motricidad,"&gt;"&amp;INDEX(Res_Motricidad,1))+COUNTIF(OFFSET(Res_Motricidad,0,0,1,1),INDEX(Res_Motricidad,1)))</f>
        <v>1</v>
      </c>
      <c r="AG8" s="50">
        <f ca="1">IF(1&gt;Var_N,"",COUNTIF(Ind_Motricidad,"&gt;"&amp;INDEX(Ind_Motricidad,1))+COUNTIF(OFFSET(Ind_Motricidad,0,0,1,1),INDEX(Ind_Motricidad,1)))</f>
        <v>1</v>
      </c>
      <c r="AH8" s="50">
        <f ca="1">IF(1&gt;Var_N,"",COUNTIF(Res_Motricidad,"&gt;"&amp;INDEX(Res_Motricidad,1))+COUNTIF(OFFSET(Res_Motricidad,0,0,1,1),INDEX(Res_Motricidad,1)))</f>
        <v>1</v>
      </c>
      <c r="AI8" s="50" t="e">
        <f>IF(1&gt;Var_N,0,IF(INDEX(Res_RangoMot,1)-INDEX(Ind_RangoMot,1)&gt;=2,1,0))</f>
        <v>#VALUE!</v>
      </c>
      <c r="AJ8" s="50" t="e">
        <f>IF($AI$8=0,"",SUM($AI$8:$AI$8))</f>
        <v>#VALUE!</v>
      </c>
    </row>
    <row r="9" spans="1:36" ht="40" customHeight="1" x14ac:dyDescent="0.2">
      <c r="B9" s="116" t="str">
        <f>IF('01 · Encuadre'!$B$10="","(sin título)",'01 · Encuadre'!$B$10)</f>
        <v>(sin título)</v>
      </c>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50">
        <f ca="1">IF(2&gt;Var_N,"",COUNTIF(Res_Motricidad,"&gt;"&amp;INDEX(Res_Motricidad,2))+COUNTIF(OFFSET(Res_Motricidad,0,0,2,1),INDEX(Res_Motricidad,2)))</f>
        <v>2</v>
      </c>
      <c r="AG9" s="50">
        <f ca="1">IF(2&gt;Var_N,"",COUNTIF(Ind_Motricidad,"&gt;"&amp;INDEX(Ind_Motricidad,2))+COUNTIF(OFFSET(Ind_Motricidad,0,0,2,1),INDEX(Ind_Motricidad,2)))</f>
        <v>2</v>
      </c>
      <c r="AH9" s="50">
        <f ca="1">IF(2&gt;Var_N,"",COUNTIF(Res_Motricidad,"&gt;"&amp;INDEX(Res_Motricidad,2))+COUNTIF(OFFSET(Res_Motricidad,0,0,2,1),INDEX(Res_Motricidad,2)))</f>
        <v>2</v>
      </c>
      <c r="AI9" s="50" t="e">
        <f>IF(2&gt;Var_N,0,IF(INDEX(Res_RangoMot,2)-INDEX(Ind_RangoMot,2)&gt;=2,1,0))</f>
        <v>#VALUE!</v>
      </c>
      <c r="AJ9" s="50" t="e">
        <f>IF($AI$9=0,"",SUM($AI$8:$AI$9))</f>
        <v>#VALUE!</v>
      </c>
    </row>
    <row r="10" spans="1:36" ht="26" customHeight="1" x14ac:dyDescent="0.2">
      <c r="B10" s="117" t="str">
        <f>IF('01 · Encuadre'!$B$14="","",'01 · Encuadre'!$B$14)</f>
        <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50">
        <f ca="1">IF(3&gt;Var_N,"",COUNTIF(Res_Motricidad,"&gt;"&amp;INDEX(Res_Motricidad,3))+COUNTIF(OFFSET(Res_Motricidad,0,0,3,1),INDEX(Res_Motricidad,3)))</f>
        <v>3</v>
      </c>
      <c r="AG10" s="50">
        <f ca="1">IF(3&gt;Var_N,"",COUNTIF(Ind_Motricidad,"&gt;"&amp;INDEX(Ind_Motricidad,3))+COUNTIF(OFFSET(Ind_Motricidad,0,0,3,1),INDEX(Ind_Motricidad,3)))</f>
        <v>3</v>
      </c>
      <c r="AH10" s="50">
        <f ca="1">IF(3&gt;Var_N,"",COUNTIF(Res_Motricidad,"&gt;"&amp;INDEX(Res_Motricidad,3))+COUNTIF(OFFSET(Res_Motricidad,0,0,3,1),INDEX(Res_Motricidad,3)))</f>
        <v>3</v>
      </c>
      <c r="AI10" s="50" t="e">
        <f>IF(3&gt;Var_N,0,IF(INDEX(Res_RangoMot,3)-INDEX(Ind_RangoMot,3)&gt;=2,1,0))</f>
        <v>#VALUE!</v>
      </c>
      <c r="AJ10" s="50" t="e">
        <f>IF($AI$10=0,"",SUM($AI$8:$AI$10))</f>
        <v>#VALUE!</v>
      </c>
    </row>
    <row r="11" spans="1:36" ht="22" customHeight="1" x14ac:dyDescent="0.2">
      <c r="B11" s="85" t="str">
        <f>IF('01 · Encuadre'!$B$22="","",'01 · Encuadre'!$B$22)&amp;"   ·   "&amp;IF('01 · Encuadre'!$B$18="","",'01 · Encuadre'!$B$18)</f>
        <v xml:space="preserve">   ·   </v>
      </c>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50">
        <f ca="1">IF(4&gt;Var_N,"",COUNTIF(Res_Motricidad,"&gt;"&amp;INDEX(Res_Motricidad,4))+COUNTIF(OFFSET(Res_Motricidad,0,0,4,1),INDEX(Res_Motricidad,4)))</f>
        <v>4</v>
      </c>
      <c r="AG11" s="50">
        <f ca="1">IF(4&gt;Var_N,"",COUNTIF(Ind_Motricidad,"&gt;"&amp;INDEX(Ind_Motricidad,4))+COUNTIF(OFFSET(Ind_Motricidad,0,0,4,1),INDEX(Ind_Motricidad,4)))</f>
        <v>4</v>
      </c>
      <c r="AH11" s="50">
        <f ca="1">IF(4&gt;Var_N,"",COUNTIF(Res_Motricidad,"&gt;"&amp;INDEX(Res_Motricidad,4))+COUNTIF(OFFSET(Res_Motricidad,0,0,4,1),INDEX(Res_Motricidad,4)))</f>
        <v>4</v>
      </c>
      <c r="AI11" s="50" t="e">
        <f>IF(4&gt;Var_N,0,IF(INDEX(Res_RangoMot,4)-INDEX(Ind_RangoMot,4)&gt;=2,1,0))</f>
        <v>#VALUE!</v>
      </c>
      <c r="AJ11" s="50" t="e">
        <f>IF($AI$11=0,"",SUM($AI$8:$AI$11))</f>
        <v>#VALUE!</v>
      </c>
    </row>
    <row r="12" spans="1:36" ht="10" customHeight="1" x14ac:dyDescent="0.2">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50">
        <f ca="1">IF(5&gt;Var_N,"",COUNTIF(Res_Motricidad,"&gt;"&amp;INDEX(Res_Motricidad,5))+COUNTIF(OFFSET(Res_Motricidad,0,0,5,1),INDEX(Res_Motricidad,5)))</f>
        <v>5</v>
      </c>
      <c r="AG12" s="50">
        <f ca="1">IF(5&gt;Var_N,"",COUNTIF(Ind_Motricidad,"&gt;"&amp;INDEX(Ind_Motricidad,5))+COUNTIF(OFFSET(Ind_Motricidad,0,0,5,1),INDEX(Ind_Motricidad,5)))</f>
        <v>5</v>
      </c>
      <c r="AH12" s="50">
        <f ca="1">IF(5&gt;Var_N,"",COUNTIF(Res_Motricidad,"&gt;"&amp;INDEX(Res_Motricidad,5))+COUNTIF(OFFSET(Res_Motricidad,0,0,5,1),INDEX(Res_Motricidad,5)))</f>
        <v>5</v>
      </c>
      <c r="AI12" s="50" t="e">
        <f>IF(5&gt;Var_N,0,IF(INDEX(Res_RangoMot,5)-INDEX(Ind_RangoMot,5)&gt;=2,1,0))</f>
        <v>#VALUE!</v>
      </c>
      <c r="AJ12" s="50" t="e">
        <f>IF($AI$12=0,"",SUM($AI$8:$AI$12))</f>
        <v>#VALUE!</v>
      </c>
    </row>
    <row r="13" spans="1:36" x14ac:dyDescent="0.2">
      <c r="AF13" s="50">
        <f ca="1">IF(6&gt;Var_N,"",COUNTIF(Res_Motricidad,"&gt;"&amp;INDEX(Res_Motricidad,6))+COUNTIF(OFFSET(Res_Motricidad,0,0,6,1),INDEX(Res_Motricidad,6)))</f>
        <v>6</v>
      </c>
      <c r="AG13" s="50">
        <f ca="1">IF(6&gt;Var_N,"",COUNTIF(Ind_Motricidad,"&gt;"&amp;INDEX(Ind_Motricidad,6))+COUNTIF(OFFSET(Ind_Motricidad,0,0,6,1),INDEX(Ind_Motricidad,6)))</f>
        <v>6</v>
      </c>
      <c r="AH13" s="50">
        <f ca="1">IF(6&gt;Var_N,"",COUNTIF(Res_Motricidad,"&gt;"&amp;INDEX(Res_Motricidad,6))+COUNTIF(OFFSET(Res_Motricidad,0,0,6,1),INDEX(Res_Motricidad,6)))</f>
        <v>6</v>
      </c>
      <c r="AI13" s="50" t="e">
        <f>IF(6&gt;Var_N,0,IF(INDEX(Res_RangoMot,6)-INDEX(Ind_RangoMot,6)&gt;=2,1,0))</f>
        <v>#VALUE!</v>
      </c>
      <c r="AJ13" s="50" t="e">
        <f>IF($AI$13=0,"",SUM($AI$8:$AI$13))</f>
        <v>#VALUE!</v>
      </c>
    </row>
    <row r="14" spans="1:36" ht="18" customHeight="1" x14ac:dyDescent="0.2">
      <c r="B14" s="77" t="s">
        <v>275</v>
      </c>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50">
        <f ca="1">IF(7&gt;Var_N,"",COUNTIF(Res_Motricidad,"&gt;"&amp;INDEX(Res_Motricidad,7))+COUNTIF(OFFSET(Res_Motricidad,0,0,7,1),INDEX(Res_Motricidad,7)))</f>
        <v>7</v>
      </c>
      <c r="AG14" s="50">
        <f ca="1">IF(7&gt;Var_N,"",COUNTIF(Ind_Motricidad,"&gt;"&amp;INDEX(Ind_Motricidad,7))+COUNTIF(OFFSET(Ind_Motricidad,0,0,7,1),INDEX(Ind_Motricidad,7)))</f>
        <v>7</v>
      </c>
      <c r="AH14" s="50">
        <f ca="1">IF(7&gt;Var_N,"",COUNTIF(Res_Motricidad,"&gt;"&amp;INDEX(Res_Motricidad,7))+COUNTIF(OFFSET(Res_Motricidad,0,0,7,1),INDEX(Res_Motricidad,7)))</f>
        <v>7</v>
      </c>
      <c r="AI14" s="50" t="e">
        <f>IF(7&gt;Var_N,0,IF(INDEX(Res_RangoMot,7)-INDEX(Ind_RangoMot,7)&gt;=2,1,0))</f>
        <v>#VALUE!</v>
      </c>
      <c r="AJ14" s="50" t="e">
        <f>IF($AI$14=0,"",SUM($AI$8:$AI$14))</f>
        <v>#VALUE!</v>
      </c>
    </row>
    <row r="15" spans="1:36" ht="62" customHeight="1" x14ac:dyDescent="0.2">
      <c r="B15" s="91" t="str">
        <f ca="1">IF(Var_N&lt;2,"","De los "&amp;Var_N&amp;" factores analizados, "&amp;COUNTIF(Res_Tipologia,"1 · Entrada / determinante")+COUNTIF(Res_Tipologia,"2 · Intermedia / de enlace")&amp;IF(COUNTIF(Res_Tipologia,"1 · Entrada / determinante")+COUNTIF(Res_Tipologia,"2 · Intermedia / de enlace")=1," gobierna"," gobiernan")&amp;" el sistema. El más determinante es "&amp;IFERROR(INDEX(Res_Nombre,MATCH(1,$AF$8:$AF$32,0)),"")&amp;". La densidad de la matriz es del "&amp;ROUND(Ind_Densidad*100,1)&amp;" %"&amp;IF(AND(Ind_Densidad&gt;=0.2,Ind_Densidad&lt;=0.25),", dentro de lo esperable.",", fuera del rango habitual.")&amp;" El estudio se basa en "&amp;Ind_NoNulas&amp;" relaciones de influencia sobre "&amp;Ind_Preguntas&amp;" pares posibles.")</f>
        <v>De los 25 factores analizados, 0 gobiernan el sistema. El más determinante es . La densidad de la matriz es del 0 %, fuera del rango habitual. El estudio se basa en 0 relaciones de influencia sobre 600 pares posibles.</v>
      </c>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50">
        <f ca="1">IF(8&gt;Var_N,"",COUNTIF(Res_Motricidad,"&gt;"&amp;INDEX(Res_Motricidad,8))+COUNTIF(OFFSET(Res_Motricidad,0,0,8,1),INDEX(Res_Motricidad,8)))</f>
        <v>8</v>
      </c>
      <c r="AG15" s="50">
        <f ca="1">IF(8&gt;Var_N,"",COUNTIF(Ind_Motricidad,"&gt;"&amp;INDEX(Ind_Motricidad,8))+COUNTIF(OFFSET(Ind_Motricidad,0,0,8,1),INDEX(Ind_Motricidad,8)))</f>
        <v>8</v>
      </c>
      <c r="AH15" s="50">
        <f ca="1">IF(8&gt;Var_N,"",COUNTIF(Res_Motricidad,"&gt;"&amp;INDEX(Res_Motricidad,8))+COUNTIF(OFFSET(Res_Motricidad,0,0,8,1),INDEX(Res_Motricidad,8)))</f>
        <v>8</v>
      </c>
      <c r="AI15" s="50" t="e">
        <f>IF(8&gt;Var_N,0,IF(INDEX(Res_RangoMot,8)-INDEX(Ind_RangoMot,8)&gt;=2,1,0))</f>
        <v>#VALUE!</v>
      </c>
      <c r="AJ15" s="50" t="e">
        <f>IF($AI$15=0,"",SUM($AI$8:$AI$15))</f>
        <v>#VALUE!</v>
      </c>
    </row>
    <row r="16" spans="1:36" x14ac:dyDescent="0.2">
      <c r="AF16" s="50">
        <f ca="1">IF(9&gt;Var_N,"",COUNTIF(Res_Motricidad,"&gt;"&amp;INDEX(Res_Motricidad,9))+COUNTIF(OFFSET(Res_Motricidad,0,0,9,1),INDEX(Res_Motricidad,9)))</f>
        <v>9</v>
      </c>
      <c r="AG16" s="50">
        <f ca="1">IF(9&gt;Var_N,"",COUNTIF(Ind_Motricidad,"&gt;"&amp;INDEX(Ind_Motricidad,9))+COUNTIF(OFFSET(Ind_Motricidad,0,0,9,1),INDEX(Ind_Motricidad,9)))</f>
        <v>9</v>
      </c>
      <c r="AH16" s="50">
        <f ca="1">IF(9&gt;Var_N,"",COUNTIF(Res_Motricidad,"&gt;"&amp;INDEX(Res_Motricidad,9))+COUNTIF(OFFSET(Res_Motricidad,0,0,9,1),INDEX(Res_Motricidad,9)))</f>
        <v>9</v>
      </c>
      <c r="AI16" s="50" t="e">
        <f>IF(9&gt;Var_N,0,IF(INDEX(Res_RangoMot,9)-INDEX(Ind_RangoMot,9)&gt;=2,1,0))</f>
        <v>#VALUE!</v>
      </c>
      <c r="AJ16" s="50" t="e">
        <f>IF($AI$16=0,"",SUM($AI$8:$AI$16))</f>
        <v>#VALUE!</v>
      </c>
    </row>
    <row r="17" spans="2:36" ht="18" customHeight="1" x14ac:dyDescent="0.2">
      <c r="B17" s="77" t="s">
        <v>276</v>
      </c>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50">
        <f ca="1">IF(10&gt;Var_N,"",COUNTIF(Res_Motricidad,"&gt;"&amp;INDEX(Res_Motricidad,10))+COUNTIF(OFFSET(Res_Motricidad,0,0,10,1),INDEX(Res_Motricidad,10)))</f>
        <v>10</v>
      </c>
      <c r="AG17" s="50">
        <f ca="1">IF(10&gt;Var_N,"",COUNTIF(Ind_Motricidad,"&gt;"&amp;INDEX(Ind_Motricidad,10))+COUNTIF(OFFSET(Ind_Motricidad,0,0,10,1),INDEX(Ind_Motricidad,10)))</f>
        <v>10</v>
      </c>
      <c r="AH17" s="50">
        <f ca="1">IF(10&gt;Var_N,"",COUNTIF(Res_Motricidad,"&gt;"&amp;INDEX(Res_Motricidad,10))+COUNTIF(OFFSET(Res_Motricidad,0,0,10,1),INDEX(Res_Motricidad,10)))</f>
        <v>10</v>
      </c>
      <c r="AI17" s="50" t="e">
        <f>IF(10&gt;Var_N,0,IF(INDEX(Res_RangoMot,10)-INDEX(Ind_RangoMot,10)&gt;=2,1,0))</f>
        <v>#VALUE!</v>
      </c>
      <c r="AJ17" s="50" t="e">
        <f>IF($AI$17=0,"",SUM($AI$8:$AI$17))</f>
        <v>#VALUE!</v>
      </c>
    </row>
    <row r="18" spans="2:36" ht="34" customHeight="1" x14ac:dyDescent="0.2">
      <c r="B18" s="85" t="str">
        <f>"Análisis estructural MICMAC conforme al Cahier LIPSOR SR-10. Se identificaron "&amp;Var_N&amp;" factores, se valoró la influencia directa de cada uno sobre los demás en una escala de 0 a 4, y la matriz se elevó a sucesivas potencias hasta estabilizar la clasificación. La zona de indeterminación se fijó en el "&amp;ROUND(Método!$C$23*100,0)&amp;" %"&amp;" del recorrido de cada eje."</f>
        <v>Análisis estructural MICMAC conforme al Cahier LIPSOR SR-10. Se identificaron 25 factores, se valoró la influencia directa de cada uno sobre los demás en una escala de 0 a 4, y la matriz se elevó a sucesivas potencias hasta estabilizar la clasificación. La zona de indeterminación se fijó en el 10 % del recorrido de cada eje.</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50">
        <f ca="1">IF(11&gt;Var_N,"",COUNTIF(Res_Motricidad,"&gt;"&amp;INDEX(Res_Motricidad,11))+COUNTIF(OFFSET(Res_Motricidad,0,0,11,1),INDEX(Res_Motricidad,11)))</f>
        <v>11</v>
      </c>
      <c r="AG18" s="50">
        <f ca="1">IF(11&gt;Var_N,"",COUNTIF(Ind_Motricidad,"&gt;"&amp;INDEX(Ind_Motricidad,11))+COUNTIF(OFFSET(Ind_Motricidad,0,0,11,1),INDEX(Ind_Motricidad,11)))</f>
        <v>11</v>
      </c>
      <c r="AH18" s="50">
        <f ca="1">IF(11&gt;Var_N,"",COUNTIF(Res_Motricidad,"&gt;"&amp;INDEX(Res_Motricidad,11))+COUNTIF(OFFSET(Res_Motricidad,0,0,11,1),INDEX(Res_Motricidad,11)))</f>
        <v>11</v>
      </c>
      <c r="AI18" s="50" t="e">
        <f>IF(11&gt;Var_N,0,IF(INDEX(Res_RangoMot,11)-INDEX(Ind_RangoMot,11)&gt;=2,1,0))</f>
        <v>#VALUE!</v>
      </c>
      <c r="AJ18" s="50" t="e">
        <f>IF($AI$18=0,"",SUM($AI$8:$AI$18))</f>
        <v>#VALUE!</v>
      </c>
    </row>
    <row r="19" spans="2:36" x14ac:dyDescent="0.2">
      <c r="AF19" s="50">
        <f ca="1">IF(12&gt;Var_N,"",COUNTIF(Res_Motricidad,"&gt;"&amp;INDEX(Res_Motricidad,12))+COUNTIF(OFFSET(Res_Motricidad,0,0,12,1),INDEX(Res_Motricidad,12)))</f>
        <v>12</v>
      </c>
      <c r="AG19" s="50">
        <f ca="1">IF(12&gt;Var_N,"",COUNTIF(Ind_Motricidad,"&gt;"&amp;INDEX(Ind_Motricidad,12))+COUNTIF(OFFSET(Ind_Motricidad,0,0,12,1),INDEX(Ind_Motricidad,12)))</f>
        <v>12</v>
      </c>
      <c r="AH19" s="50">
        <f ca="1">IF(12&gt;Var_N,"",COUNTIF(Res_Motricidad,"&gt;"&amp;INDEX(Res_Motricidad,12))+COUNTIF(OFFSET(Res_Motricidad,0,0,12,1),INDEX(Res_Motricidad,12)))</f>
        <v>12</v>
      </c>
      <c r="AI19" s="50" t="e">
        <f>IF(12&gt;Var_N,0,IF(INDEX(Res_RangoMot,12)-INDEX(Ind_RangoMot,12)&gt;=2,1,0))</f>
        <v>#VALUE!</v>
      </c>
      <c r="AJ19" s="50" t="e">
        <f>IF($AI$19=0,"",SUM($AI$8:$AI$19))</f>
        <v>#VALUE!</v>
      </c>
    </row>
    <row r="20" spans="2:36" ht="18" customHeight="1" x14ac:dyDescent="0.2">
      <c r="B20" s="77" t="s">
        <v>277</v>
      </c>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50">
        <f ca="1">IF(13&gt;Var_N,"",COUNTIF(Res_Motricidad,"&gt;"&amp;INDEX(Res_Motricidad,13))+COUNTIF(OFFSET(Res_Motricidad,0,0,13,1),INDEX(Res_Motricidad,13)))</f>
        <v>13</v>
      </c>
      <c r="AG20" s="50">
        <f ca="1">IF(13&gt;Var_N,"",COUNTIF(Ind_Motricidad,"&gt;"&amp;INDEX(Ind_Motricidad,13))+COUNTIF(OFFSET(Ind_Motricidad,0,0,13,1),INDEX(Ind_Motricidad,13)))</f>
        <v>13</v>
      </c>
      <c r="AH20" s="50">
        <f ca="1">IF(13&gt;Var_N,"",COUNTIF(Res_Motricidad,"&gt;"&amp;INDEX(Res_Motricidad,13))+COUNTIF(OFFSET(Res_Motricidad,0,0,13,1),INDEX(Res_Motricidad,13)))</f>
        <v>13</v>
      </c>
      <c r="AI20" s="50" t="e">
        <f>IF(13&gt;Var_N,0,IF(INDEX(Res_RangoMot,13)-INDEX(Ind_RangoMot,13)&gt;=2,1,0))</f>
        <v>#VALUE!</v>
      </c>
      <c r="AJ20" s="50" t="e">
        <f>IF($AI$20=0,"",SUM($AI$8:$AI$20))</f>
        <v>#VALUE!</v>
      </c>
    </row>
    <row r="21" spans="2:36" ht="40" customHeight="1" x14ac:dyDescent="0.2">
      <c r="B21" s="78">
        <f>Var_N</f>
        <v>25</v>
      </c>
      <c r="C21" s="78"/>
      <c r="D21" s="78"/>
      <c r="E21" s="78"/>
      <c r="F21" s="78"/>
      <c r="G21" s="78"/>
      <c r="H21" s="78">
        <f>Ind_Preguntas</f>
        <v>600</v>
      </c>
      <c r="I21" s="78"/>
      <c r="J21" s="78"/>
      <c r="K21" s="78"/>
      <c r="L21" s="78"/>
      <c r="M21" s="78"/>
      <c r="N21" s="78">
        <f>Ind_NoNulas</f>
        <v>0</v>
      </c>
      <c r="O21" s="78"/>
      <c r="P21" s="78"/>
      <c r="Q21" s="78"/>
      <c r="R21" s="78"/>
      <c r="S21" s="78"/>
      <c r="T21" s="79">
        <f>Ind_Densidad</f>
        <v>0</v>
      </c>
      <c r="U21" s="79"/>
      <c r="V21" s="79"/>
      <c r="W21" s="79"/>
      <c r="X21" s="79"/>
      <c r="Y21" s="79"/>
      <c r="Z21" s="78">
        <f>Ind_Potenciales</f>
        <v>0</v>
      </c>
      <c r="AA21" s="78"/>
      <c r="AB21" s="78"/>
      <c r="AC21" s="78"/>
      <c r="AD21" s="78"/>
      <c r="AE21" s="78"/>
      <c r="AF21" s="50">
        <f ca="1">IF(14&gt;Var_N,"",COUNTIF(Res_Motricidad,"&gt;"&amp;INDEX(Res_Motricidad,14))+COUNTIF(OFFSET(Res_Motricidad,0,0,14,1),INDEX(Res_Motricidad,14)))</f>
        <v>14</v>
      </c>
      <c r="AG21" s="50">
        <f ca="1">IF(14&gt;Var_N,"",COUNTIF(Ind_Motricidad,"&gt;"&amp;INDEX(Ind_Motricidad,14))+COUNTIF(OFFSET(Ind_Motricidad,0,0,14,1),INDEX(Ind_Motricidad,14)))</f>
        <v>14</v>
      </c>
      <c r="AH21" s="50">
        <f ca="1">IF(14&gt;Var_N,"",COUNTIF(Res_Motricidad,"&gt;"&amp;INDEX(Res_Motricidad,14))+COUNTIF(OFFSET(Res_Motricidad,0,0,14,1),INDEX(Res_Motricidad,14)))</f>
        <v>14</v>
      </c>
      <c r="AI21" s="50" t="e">
        <f>IF(14&gt;Var_N,0,IF(INDEX(Res_RangoMot,14)-INDEX(Ind_RangoMot,14)&gt;=2,1,0))</f>
        <v>#VALUE!</v>
      </c>
      <c r="AJ21" s="50" t="e">
        <f>IF($AI$21=0,"",SUM($AI$8:$AI$21))</f>
        <v>#VALUE!</v>
      </c>
    </row>
    <row r="22" spans="2:36" ht="18" customHeight="1" x14ac:dyDescent="0.2">
      <c r="B22" s="77" t="s">
        <v>165</v>
      </c>
      <c r="C22" s="77"/>
      <c r="D22" s="77"/>
      <c r="E22" s="77"/>
      <c r="F22" s="77"/>
      <c r="G22" s="77"/>
      <c r="H22" s="77" t="s">
        <v>232</v>
      </c>
      <c r="I22" s="77"/>
      <c r="J22" s="77"/>
      <c r="K22" s="77"/>
      <c r="L22" s="77"/>
      <c r="M22" s="77"/>
      <c r="N22" s="77" t="s">
        <v>233</v>
      </c>
      <c r="O22" s="77"/>
      <c r="P22" s="77"/>
      <c r="Q22" s="77"/>
      <c r="R22" s="77"/>
      <c r="S22" s="77"/>
      <c r="T22" s="77" t="s">
        <v>46</v>
      </c>
      <c r="U22" s="77"/>
      <c r="V22" s="77"/>
      <c r="W22" s="77"/>
      <c r="X22" s="77"/>
      <c r="Y22" s="77"/>
      <c r="Z22" s="77" t="s">
        <v>234</v>
      </c>
      <c r="AA22" s="77"/>
      <c r="AB22" s="77"/>
      <c r="AC22" s="77"/>
      <c r="AD22" s="77"/>
      <c r="AE22" s="77"/>
      <c r="AF22" s="50">
        <f ca="1">IF(15&gt;Var_N,"",COUNTIF(Res_Motricidad,"&gt;"&amp;INDEX(Res_Motricidad,15))+COUNTIF(OFFSET(Res_Motricidad,0,0,15,1),INDEX(Res_Motricidad,15)))</f>
        <v>15</v>
      </c>
      <c r="AG22" s="50">
        <f ca="1">IF(15&gt;Var_N,"",COUNTIF(Ind_Motricidad,"&gt;"&amp;INDEX(Ind_Motricidad,15))+COUNTIF(OFFSET(Ind_Motricidad,0,0,15,1),INDEX(Ind_Motricidad,15)))</f>
        <v>15</v>
      </c>
      <c r="AH22" s="50">
        <f ca="1">IF(15&gt;Var_N,"",COUNTIF(Res_Motricidad,"&gt;"&amp;INDEX(Res_Motricidad,15))+COUNTIF(OFFSET(Res_Motricidad,0,0,15,1),INDEX(Res_Motricidad,15)))</f>
        <v>15</v>
      </c>
      <c r="AI22" s="50" t="e">
        <f>IF(15&gt;Var_N,0,IF(INDEX(Res_RangoMot,15)-INDEX(Ind_RangoMot,15)&gt;=2,1,0))</f>
        <v>#VALUE!</v>
      </c>
      <c r="AJ22" s="50" t="e">
        <f>IF($AI$22=0,"",SUM($AI$8:$AI$22))</f>
        <v>#VALUE!</v>
      </c>
    </row>
    <row r="23" spans="2:36" x14ac:dyDescent="0.2">
      <c r="AF23" s="50">
        <f ca="1">IF(16&gt;Var_N,"",COUNTIF(Res_Motricidad,"&gt;"&amp;INDEX(Res_Motricidad,16))+COUNTIF(OFFSET(Res_Motricidad,0,0,16,1),INDEX(Res_Motricidad,16)))</f>
        <v>16</v>
      </c>
      <c r="AG23" s="50">
        <f ca="1">IF(16&gt;Var_N,"",COUNTIF(Ind_Motricidad,"&gt;"&amp;INDEX(Ind_Motricidad,16))+COUNTIF(OFFSET(Ind_Motricidad,0,0,16,1),INDEX(Ind_Motricidad,16)))</f>
        <v>16</v>
      </c>
      <c r="AH23" s="50">
        <f ca="1">IF(16&gt;Var_N,"",COUNTIF(Res_Motricidad,"&gt;"&amp;INDEX(Res_Motricidad,16))+COUNTIF(OFFSET(Res_Motricidad,0,0,16,1),INDEX(Res_Motricidad,16)))</f>
        <v>16</v>
      </c>
      <c r="AI23" s="50" t="e">
        <f>IF(16&gt;Var_N,0,IF(INDEX(Res_RangoMot,16)-INDEX(Ind_RangoMot,16)&gt;=2,1,0))</f>
        <v>#VALUE!</v>
      </c>
      <c r="AJ23" s="50" t="e">
        <f>IF($AI$23=0,"",SUM($AI$8:$AI$23))</f>
        <v>#VALUE!</v>
      </c>
    </row>
    <row r="24" spans="2:36" ht="18" customHeight="1" x14ac:dyDescent="0.2">
      <c r="B24" s="77" t="s">
        <v>278</v>
      </c>
      <c r="C24" s="77"/>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50">
        <f ca="1">IF(17&gt;Var_N,"",COUNTIF(Res_Motricidad,"&gt;"&amp;INDEX(Res_Motricidad,17))+COUNTIF(OFFSET(Res_Motricidad,0,0,17,1),INDEX(Res_Motricidad,17)))</f>
        <v>17</v>
      </c>
      <c r="AG24" s="50">
        <f ca="1">IF(17&gt;Var_N,"",COUNTIF(Ind_Motricidad,"&gt;"&amp;INDEX(Ind_Motricidad,17))+COUNTIF(OFFSET(Ind_Motricidad,0,0,17,1),INDEX(Ind_Motricidad,17)))</f>
        <v>17</v>
      </c>
      <c r="AH24" s="50">
        <f ca="1">IF(17&gt;Var_N,"",COUNTIF(Res_Motricidad,"&gt;"&amp;INDEX(Res_Motricidad,17))+COUNTIF(OFFSET(Res_Motricidad,0,0,17,1),INDEX(Res_Motricidad,17)))</f>
        <v>17</v>
      </c>
      <c r="AI24" s="50" t="e">
        <f>IF(17&gt;Var_N,0,IF(INDEX(Res_RangoMot,17)-INDEX(Ind_RangoMot,17)&gt;=2,1,0))</f>
        <v>#VALUE!</v>
      </c>
      <c r="AJ24" s="50" t="e">
        <f>IF($AI$24=0,"",SUM($AI$8:$AI$24))</f>
        <v>#VALUE!</v>
      </c>
    </row>
    <row r="25" spans="2:36" ht="18" customHeight="1" x14ac:dyDescent="0.2">
      <c r="B25" s="85" t="s">
        <v>279</v>
      </c>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50">
        <f ca="1">IF(18&gt;Var_N,"",COUNTIF(Res_Motricidad,"&gt;"&amp;INDEX(Res_Motricidad,18))+COUNTIF(OFFSET(Res_Motricidad,0,0,18,1),INDEX(Res_Motricidad,18)))</f>
        <v>18</v>
      </c>
      <c r="AG25" s="50">
        <f ca="1">IF(18&gt;Var_N,"",COUNTIF(Ind_Motricidad,"&gt;"&amp;INDEX(Ind_Motricidad,18))+COUNTIF(OFFSET(Ind_Motricidad,0,0,18,1),INDEX(Ind_Motricidad,18)))</f>
        <v>18</v>
      </c>
      <c r="AH25" s="50">
        <f ca="1">IF(18&gt;Var_N,"",COUNTIF(Res_Motricidad,"&gt;"&amp;INDEX(Res_Motricidad,18))+COUNTIF(OFFSET(Res_Motricidad,0,0,18,1),INDEX(Res_Motricidad,18)))</f>
        <v>18</v>
      </c>
      <c r="AI25" s="50" t="e">
        <f>IF(18&gt;Var_N,0,IF(INDEX(Res_RangoMot,18)-INDEX(Ind_RangoMot,18)&gt;=2,1,0))</f>
        <v>#VALUE!</v>
      </c>
      <c r="AJ25" s="50" t="e">
        <f>IF($AI$25=0,"",SUM($AI$8:$AI$25))</f>
        <v>#VALUE!</v>
      </c>
    </row>
    <row r="26" spans="2:36" ht="22" customHeight="1" x14ac:dyDescent="0.2">
      <c r="B26" s="84" t="str">
        <f t="shared" ref="B26:B31" ca="1" si="0">IFERROR(INDEX(Res_Nombre,MATCH(ROW()-25,$AF$8:$AF$32,0)),"")</f>
        <v/>
      </c>
      <c r="C26" s="75"/>
      <c r="D26" s="75"/>
      <c r="E26" s="75"/>
      <c r="F26" s="75"/>
      <c r="G26" s="75"/>
      <c r="H26" s="75"/>
      <c r="I26" s="75"/>
      <c r="J26" s="75"/>
      <c r="K26" s="75"/>
      <c r="L26" s="75"/>
      <c r="M26" s="75"/>
      <c r="N26" s="85" t="str">
        <f t="shared" ref="N26:N31" ca="1" si="1">IFERROR("influye sobre "&amp;INDEX(Res_Motricidad,MATCH(ROW()-25,$AF$8:$AF$32,0))&amp;" de los demás  ·  "&amp;IF(INDEX(Res_Tipologia,MATCH(ROW()-25,$AF$8:$AF$32,0))="1 · Entrada / determinante","motriz: gobierna el sistema",IF(INDEX(Res_Tipologia,MATCH(ROW()-25,$AF$8:$AF$32,0))="2 · Intermedia / de enlace","clave: inestable, todo cambio se propaga",IF(INDEX(Res_Tipologia,MATCH(ROW()-25,$AF$8:$AF$32,0))="3 · Resultado","resultado: síntoma del sistema",IF(INDEX(Res_Tipologia,MATCH(ROW()-25,$AF$8:$AF$32,0))="4 · Excluida / autónoma","autónomo: fuera de la dinámica","pelotón: no concluyente")))),"")</f>
        <v>influye sobre  de los demás  ·  pelotón: no concluyente</v>
      </c>
      <c r="O26" s="75"/>
      <c r="P26" s="75"/>
      <c r="Q26" s="75"/>
      <c r="R26" s="75"/>
      <c r="S26" s="75"/>
      <c r="T26" s="75"/>
      <c r="U26" s="75"/>
      <c r="V26" s="75"/>
      <c r="W26" s="75"/>
      <c r="X26" s="75"/>
      <c r="Y26" s="75"/>
      <c r="Z26" s="75"/>
      <c r="AA26" s="75"/>
      <c r="AB26" s="75"/>
      <c r="AC26" s="75"/>
      <c r="AD26" s="75"/>
      <c r="AE26" s="75"/>
      <c r="AF26" s="50">
        <f ca="1">IF(19&gt;Var_N,"",COUNTIF(Res_Motricidad,"&gt;"&amp;INDEX(Res_Motricidad,19))+COUNTIF(OFFSET(Res_Motricidad,0,0,19,1),INDEX(Res_Motricidad,19)))</f>
        <v>19</v>
      </c>
      <c r="AG26" s="50">
        <f ca="1">IF(19&gt;Var_N,"",COUNTIF(Ind_Motricidad,"&gt;"&amp;INDEX(Ind_Motricidad,19))+COUNTIF(OFFSET(Ind_Motricidad,0,0,19,1),INDEX(Ind_Motricidad,19)))</f>
        <v>19</v>
      </c>
      <c r="AH26" s="50">
        <f ca="1">IF(19&gt;Var_N,"",COUNTIF(Res_Motricidad,"&gt;"&amp;INDEX(Res_Motricidad,19))+COUNTIF(OFFSET(Res_Motricidad,0,0,19,1),INDEX(Res_Motricidad,19)))</f>
        <v>19</v>
      </c>
      <c r="AI26" s="50" t="e">
        <f>IF(19&gt;Var_N,0,IF(INDEX(Res_RangoMot,19)-INDEX(Ind_RangoMot,19)&gt;=2,1,0))</f>
        <v>#VALUE!</v>
      </c>
      <c r="AJ26" s="50" t="e">
        <f>IF($AI$26=0,"",SUM($AI$8:$AI$26))</f>
        <v>#VALUE!</v>
      </c>
    </row>
    <row r="27" spans="2:36" ht="22" customHeight="1" x14ac:dyDescent="0.2">
      <c r="B27" s="84" t="str">
        <f t="shared" ca="1" si="0"/>
        <v/>
      </c>
      <c r="C27" s="75"/>
      <c r="D27" s="75"/>
      <c r="E27" s="75"/>
      <c r="F27" s="75"/>
      <c r="G27" s="75"/>
      <c r="H27" s="75"/>
      <c r="I27" s="75"/>
      <c r="J27" s="75"/>
      <c r="K27" s="75"/>
      <c r="L27" s="75"/>
      <c r="M27" s="75"/>
      <c r="N27" s="85" t="str">
        <f t="shared" ca="1" si="1"/>
        <v>influye sobre  de los demás  ·  pelotón: no concluyente</v>
      </c>
      <c r="O27" s="75"/>
      <c r="P27" s="75"/>
      <c r="Q27" s="75"/>
      <c r="R27" s="75"/>
      <c r="S27" s="75"/>
      <c r="T27" s="75"/>
      <c r="U27" s="75"/>
      <c r="V27" s="75"/>
      <c r="W27" s="75"/>
      <c r="X27" s="75"/>
      <c r="Y27" s="75"/>
      <c r="Z27" s="75"/>
      <c r="AA27" s="75"/>
      <c r="AB27" s="75"/>
      <c r="AC27" s="75"/>
      <c r="AD27" s="75"/>
      <c r="AE27" s="75"/>
      <c r="AF27" s="50">
        <f ca="1">IF(20&gt;Var_N,"",COUNTIF(Res_Motricidad,"&gt;"&amp;INDEX(Res_Motricidad,20))+COUNTIF(OFFSET(Res_Motricidad,0,0,20,1),INDEX(Res_Motricidad,20)))</f>
        <v>20</v>
      </c>
      <c r="AG27" s="50">
        <f ca="1">IF(20&gt;Var_N,"",COUNTIF(Ind_Motricidad,"&gt;"&amp;INDEX(Ind_Motricidad,20))+COUNTIF(OFFSET(Ind_Motricidad,0,0,20,1),INDEX(Ind_Motricidad,20)))</f>
        <v>20</v>
      </c>
      <c r="AH27" s="50">
        <f ca="1">IF(20&gt;Var_N,"",COUNTIF(Res_Motricidad,"&gt;"&amp;INDEX(Res_Motricidad,20))+COUNTIF(OFFSET(Res_Motricidad,0,0,20,1),INDEX(Res_Motricidad,20)))</f>
        <v>20</v>
      </c>
      <c r="AI27" s="50" t="e">
        <f>IF(20&gt;Var_N,0,IF(INDEX(Res_RangoMot,20)-INDEX(Ind_RangoMot,20)&gt;=2,1,0))</f>
        <v>#VALUE!</v>
      </c>
      <c r="AJ27" s="50" t="e">
        <f>IF($AI$27=0,"",SUM($AI$8:$AI$27))</f>
        <v>#VALUE!</v>
      </c>
    </row>
    <row r="28" spans="2:36" ht="22" customHeight="1" x14ac:dyDescent="0.2">
      <c r="B28" s="84" t="str">
        <f t="shared" ca="1" si="0"/>
        <v/>
      </c>
      <c r="C28" s="75"/>
      <c r="D28" s="75"/>
      <c r="E28" s="75"/>
      <c r="F28" s="75"/>
      <c r="G28" s="75"/>
      <c r="H28" s="75"/>
      <c r="I28" s="75"/>
      <c r="J28" s="75"/>
      <c r="K28" s="75"/>
      <c r="L28" s="75"/>
      <c r="M28" s="75"/>
      <c r="N28" s="85" t="str">
        <f t="shared" ca="1" si="1"/>
        <v>influye sobre  de los demás  ·  pelotón: no concluyente</v>
      </c>
      <c r="O28" s="75"/>
      <c r="P28" s="75"/>
      <c r="Q28" s="75"/>
      <c r="R28" s="75"/>
      <c r="S28" s="75"/>
      <c r="T28" s="75"/>
      <c r="U28" s="75"/>
      <c r="V28" s="75"/>
      <c r="W28" s="75"/>
      <c r="X28" s="75"/>
      <c r="Y28" s="75"/>
      <c r="Z28" s="75"/>
      <c r="AA28" s="75"/>
      <c r="AB28" s="75"/>
      <c r="AC28" s="75"/>
      <c r="AD28" s="75"/>
      <c r="AE28" s="75"/>
      <c r="AF28" s="50">
        <f ca="1">IF(21&gt;Var_N,"",COUNTIF(Res_Motricidad,"&gt;"&amp;INDEX(Res_Motricidad,21))+COUNTIF(OFFSET(Res_Motricidad,0,0,21,1),INDEX(Res_Motricidad,21)))</f>
        <v>21</v>
      </c>
      <c r="AG28" s="50">
        <f ca="1">IF(21&gt;Var_N,"",COUNTIF(Ind_Motricidad,"&gt;"&amp;INDEX(Ind_Motricidad,21))+COUNTIF(OFFSET(Ind_Motricidad,0,0,21,1),INDEX(Ind_Motricidad,21)))</f>
        <v>21</v>
      </c>
      <c r="AH28" s="50">
        <f ca="1">IF(21&gt;Var_N,"",COUNTIF(Res_Motricidad,"&gt;"&amp;INDEX(Res_Motricidad,21))+COUNTIF(OFFSET(Res_Motricidad,0,0,21,1),INDEX(Res_Motricidad,21)))</f>
        <v>21</v>
      </c>
      <c r="AI28" s="50" t="e">
        <f>IF(21&gt;Var_N,0,IF(INDEX(Res_RangoMot,21)-INDEX(Ind_RangoMot,21)&gt;=2,1,0))</f>
        <v>#VALUE!</v>
      </c>
      <c r="AJ28" s="50" t="e">
        <f>IF($AI$28=0,"",SUM($AI$8:$AI$28))</f>
        <v>#VALUE!</v>
      </c>
    </row>
    <row r="29" spans="2:36" ht="22" customHeight="1" x14ac:dyDescent="0.2">
      <c r="B29" s="84" t="str">
        <f t="shared" ca="1" si="0"/>
        <v/>
      </c>
      <c r="C29" s="75"/>
      <c r="D29" s="75"/>
      <c r="E29" s="75"/>
      <c r="F29" s="75"/>
      <c r="G29" s="75"/>
      <c r="H29" s="75"/>
      <c r="I29" s="75"/>
      <c r="J29" s="75"/>
      <c r="K29" s="75"/>
      <c r="L29" s="75"/>
      <c r="M29" s="75"/>
      <c r="N29" s="85" t="str">
        <f t="shared" ca="1" si="1"/>
        <v>influye sobre  de los demás  ·  pelotón: no concluyente</v>
      </c>
      <c r="O29" s="75"/>
      <c r="P29" s="75"/>
      <c r="Q29" s="75"/>
      <c r="R29" s="75"/>
      <c r="S29" s="75"/>
      <c r="T29" s="75"/>
      <c r="U29" s="75"/>
      <c r="V29" s="75"/>
      <c r="W29" s="75"/>
      <c r="X29" s="75"/>
      <c r="Y29" s="75"/>
      <c r="Z29" s="75"/>
      <c r="AA29" s="75"/>
      <c r="AB29" s="75"/>
      <c r="AC29" s="75"/>
      <c r="AD29" s="75"/>
      <c r="AE29" s="75"/>
      <c r="AF29" s="50">
        <f ca="1">IF(22&gt;Var_N,"",COUNTIF(Res_Motricidad,"&gt;"&amp;INDEX(Res_Motricidad,22))+COUNTIF(OFFSET(Res_Motricidad,0,0,22,1),INDEX(Res_Motricidad,22)))</f>
        <v>22</v>
      </c>
      <c r="AG29" s="50">
        <f ca="1">IF(22&gt;Var_N,"",COUNTIF(Ind_Motricidad,"&gt;"&amp;INDEX(Ind_Motricidad,22))+COUNTIF(OFFSET(Ind_Motricidad,0,0,22,1),INDEX(Ind_Motricidad,22)))</f>
        <v>22</v>
      </c>
      <c r="AH29" s="50">
        <f ca="1">IF(22&gt;Var_N,"",COUNTIF(Res_Motricidad,"&gt;"&amp;INDEX(Res_Motricidad,22))+COUNTIF(OFFSET(Res_Motricidad,0,0,22,1),INDEX(Res_Motricidad,22)))</f>
        <v>22</v>
      </c>
      <c r="AI29" s="50" t="e">
        <f>IF(22&gt;Var_N,0,IF(INDEX(Res_RangoMot,22)-INDEX(Ind_RangoMot,22)&gt;=2,1,0))</f>
        <v>#VALUE!</v>
      </c>
      <c r="AJ29" s="50" t="e">
        <f>IF($AI$29=0,"",SUM($AI$8:$AI$29))</f>
        <v>#VALUE!</v>
      </c>
    </row>
    <row r="30" spans="2:36" ht="22" customHeight="1" x14ac:dyDescent="0.2">
      <c r="B30" s="84" t="str">
        <f t="shared" ca="1" si="0"/>
        <v/>
      </c>
      <c r="C30" s="75"/>
      <c r="D30" s="75"/>
      <c r="E30" s="75"/>
      <c r="F30" s="75"/>
      <c r="G30" s="75"/>
      <c r="H30" s="75"/>
      <c r="I30" s="75"/>
      <c r="J30" s="75"/>
      <c r="K30" s="75"/>
      <c r="L30" s="75"/>
      <c r="M30" s="75"/>
      <c r="N30" s="85" t="str">
        <f t="shared" ca="1" si="1"/>
        <v>influye sobre  de los demás  ·  pelotón: no concluyente</v>
      </c>
      <c r="O30" s="75"/>
      <c r="P30" s="75"/>
      <c r="Q30" s="75"/>
      <c r="R30" s="75"/>
      <c r="S30" s="75"/>
      <c r="T30" s="75"/>
      <c r="U30" s="75"/>
      <c r="V30" s="75"/>
      <c r="W30" s="75"/>
      <c r="X30" s="75"/>
      <c r="Y30" s="75"/>
      <c r="Z30" s="75"/>
      <c r="AA30" s="75"/>
      <c r="AB30" s="75"/>
      <c r="AC30" s="75"/>
      <c r="AD30" s="75"/>
      <c r="AE30" s="75"/>
      <c r="AF30" s="50">
        <f ca="1">IF(23&gt;Var_N,"",COUNTIF(Res_Motricidad,"&gt;"&amp;INDEX(Res_Motricidad,23))+COUNTIF(OFFSET(Res_Motricidad,0,0,23,1),INDEX(Res_Motricidad,23)))</f>
        <v>23</v>
      </c>
      <c r="AG30" s="50">
        <f ca="1">IF(23&gt;Var_N,"",COUNTIF(Ind_Motricidad,"&gt;"&amp;INDEX(Ind_Motricidad,23))+COUNTIF(OFFSET(Ind_Motricidad,0,0,23,1),INDEX(Ind_Motricidad,23)))</f>
        <v>23</v>
      </c>
      <c r="AH30" s="50">
        <f ca="1">IF(23&gt;Var_N,"",COUNTIF(Res_Motricidad,"&gt;"&amp;INDEX(Res_Motricidad,23))+COUNTIF(OFFSET(Res_Motricidad,0,0,23,1),INDEX(Res_Motricidad,23)))</f>
        <v>23</v>
      </c>
      <c r="AI30" s="50" t="e">
        <f>IF(23&gt;Var_N,0,IF(INDEX(Res_RangoMot,23)-INDEX(Ind_RangoMot,23)&gt;=2,1,0))</f>
        <v>#VALUE!</v>
      </c>
      <c r="AJ30" s="50" t="e">
        <f>IF($AI$30=0,"",SUM($AI$8:$AI$30))</f>
        <v>#VALUE!</v>
      </c>
    </row>
    <row r="31" spans="2:36" ht="22" customHeight="1" x14ac:dyDescent="0.2">
      <c r="B31" s="84" t="str">
        <f t="shared" ca="1" si="0"/>
        <v/>
      </c>
      <c r="C31" s="75"/>
      <c r="D31" s="75"/>
      <c r="E31" s="75"/>
      <c r="F31" s="75"/>
      <c r="G31" s="75"/>
      <c r="H31" s="75"/>
      <c r="I31" s="75"/>
      <c r="J31" s="75"/>
      <c r="K31" s="75"/>
      <c r="L31" s="75"/>
      <c r="M31" s="75"/>
      <c r="N31" s="85" t="str">
        <f t="shared" ca="1" si="1"/>
        <v>influye sobre  de los demás  ·  pelotón: no concluyente</v>
      </c>
      <c r="O31" s="75"/>
      <c r="P31" s="75"/>
      <c r="Q31" s="75"/>
      <c r="R31" s="75"/>
      <c r="S31" s="75"/>
      <c r="T31" s="75"/>
      <c r="U31" s="75"/>
      <c r="V31" s="75"/>
      <c r="W31" s="75"/>
      <c r="X31" s="75"/>
      <c r="Y31" s="75"/>
      <c r="Z31" s="75"/>
      <c r="AA31" s="75"/>
      <c r="AB31" s="75"/>
      <c r="AC31" s="75"/>
      <c r="AD31" s="75"/>
      <c r="AE31" s="75"/>
      <c r="AF31" s="50">
        <f ca="1">IF(24&gt;Var_N,"",COUNTIF(Res_Motricidad,"&gt;"&amp;INDEX(Res_Motricidad,24))+COUNTIF(OFFSET(Res_Motricidad,0,0,24,1),INDEX(Res_Motricidad,24)))</f>
        <v>24</v>
      </c>
      <c r="AG31" s="50">
        <f ca="1">IF(24&gt;Var_N,"",COUNTIF(Ind_Motricidad,"&gt;"&amp;INDEX(Ind_Motricidad,24))+COUNTIF(OFFSET(Ind_Motricidad,0,0,24,1),INDEX(Ind_Motricidad,24)))</f>
        <v>24</v>
      </c>
      <c r="AH31" s="50">
        <f ca="1">IF(24&gt;Var_N,"",COUNTIF(Res_Motricidad,"&gt;"&amp;INDEX(Res_Motricidad,24))+COUNTIF(OFFSET(Res_Motricidad,0,0,24,1),INDEX(Res_Motricidad,24)))</f>
        <v>24</v>
      </c>
      <c r="AI31" s="50" t="e">
        <f>IF(24&gt;Var_N,0,IF(INDEX(Res_RangoMot,24)-INDEX(Ind_RangoMot,24)&gt;=2,1,0))</f>
        <v>#VALUE!</v>
      </c>
      <c r="AJ31" s="50" t="e">
        <f>IF($AI$31=0,"",SUM($AI$8:$AI$31))</f>
        <v>#VALUE!</v>
      </c>
    </row>
    <row r="32" spans="2:36" x14ac:dyDescent="0.2">
      <c r="AF32" s="50">
        <f ca="1">IF(25&gt;Var_N,"",COUNTIF(Res_Motricidad,"&gt;"&amp;INDEX(Res_Motricidad,25))+COUNTIF(OFFSET(Res_Motricidad,0,0,25,1),INDEX(Res_Motricidad,25)))</f>
        <v>25</v>
      </c>
      <c r="AG32" s="50">
        <f ca="1">IF(25&gt;Var_N,"",COUNTIF(Ind_Motricidad,"&gt;"&amp;INDEX(Ind_Motricidad,25))+COUNTIF(OFFSET(Ind_Motricidad,0,0,25,1),INDEX(Ind_Motricidad,25)))</f>
        <v>25</v>
      </c>
      <c r="AH32" s="50">
        <f ca="1">IF(25&gt;Var_N,"",COUNTIF(Res_Motricidad,"&gt;"&amp;INDEX(Res_Motricidad,25))+COUNTIF(OFFSET(Res_Motricidad,0,0,25,1),INDEX(Res_Motricidad,25)))</f>
        <v>25</v>
      </c>
      <c r="AI32" s="50" t="e">
        <f>IF(25&gt;Var_N,0,IF(INDEX(Res_RangoMot,25)-INDEX(Ind_RangoMot,25)&gt;=2,1,0))</f>
        <v>#VALUE!</v>
      </c>
      <c r="AJ32" s="50" t="e">
        <f>IF($AI$32=0,"",SUM($AI$8:$AI$32))</f>
        <v>#VALUE!</v>
      </c>
    </row>
    <row r="33" spans="2:31" ht="18" customHeight="1" x14ac:dyDescent="0.2">
      <c r="B33" s="77" t="s">
        <v>280</v>
      </c>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row>
    <row r="34" spans="2:31" ht="26" customHeight="1" x14ac:dyDescent="0.2">
      <c r="B34" s="85" t="e">
        <f>IF(Var_N&lt;2,"",IF(SUM($AI$8:$AI$32)=0,"Ningún factor cambia de forma apreciable al encadenar las relaciones.",SUM($AI$8:$AI$32)&amp;IF(SUM($AI$8:$AI$32)=1," factor sube dos o más puestos"," factores suben dos o más puestos")&amp;" al pasar de la influencia declarada a la real."))</f>
        <v>#VALUE!</v>
      </c>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row>
    <row r="35" spans="2:31" ht="20" customHeight="1" x14ac:dyDescent="0.2">
      <c r="B35" s="94" t="str">
        <f>IFERROR(IF(INDEX(Res_RangoMot,MATCH(ROW()-34,$AJ$8:$AJ$32,0))-INDEX(Ind_RangoMot,MATCH(ROW()-34,$AJ$8:$AJ$32,0))&gt;=2,INDEX(Res_Nombre,MATCH(ROW()-34,$AJ$8:$AJ$32,0)),""),"")</f>
        <v/>
      </c>
      <c r="C35" s="75"/>
      <c r="D35" s="75"/>
      <c r="E35" s="75"/>
      <c r="F35" s="75"/>
      <c r="G35" s="75"/>
      <c r="H35" s="75"/>
      <c r="I35" s="75"/>
      <c r="J35" s="75"/>
      <c r="K35" s="75"/>
      <c r="L35" s="75"/>
      <c r="M35" s="75"/>
      <c r="N35" s="85" t="str">
        <f>IFERROR(IF(INDEX(Res_RangoMot,MATCH(ROW()-34,$AJ$8:$AJ$32,0))-INDEX(Ind_RangoMot,MATCH(ROW()-34,$AJ$8:$AJ$32,0))&gt;=2,"sube del puesto "&amp;INDEX(Res_RangoMot,MATCH(ROW()-34,$AJ$8:$AJ$32,0))&amp;" al "&amp;INDEX(Ind_RangoMot,MATCH(ROW()-34,$AJ$8:$AJ$32,0))&amp;" al encadenar las relaciones",""),"")</f>
        <v/>
      </c>
      <c r="O35" s="75"/>
      <c r="P35" s="75"/>
      <c r="Q35" s="75"/>
      <c r="R35" s="75"/>
      <c r="S35" s="75"/>
      <c r="T35" s="75"/>
      <c r="U35" s="75"/>
      <c r="V35" s="75"/>
      <c r="W35" s="75"/>
      <c r="X35" s="75"/>
      <c r="Y35" s="75"/>
      <c r="Z35" s="75"/>
      <c r="AA35" s="75"/>
      <c r="AB35" s="75"/>
      <c r="AC35" s="75"/>
      <c r="AD35" s="75"/>
      <c r="AE35" s="75"/>
    </row>
    <row r="36" spans="2:31" ht="20" customHeight="1" x14ac:dyDescent="0.2">
      <c r="B36" s="94" t="str">
        <f>IFERROR(IF(INDEX(Res_RangoMot,MATCH(ROW()-34,$AJ$8:$AJ$32,0))-INDEX(Ind_RangoMot,MATCH(ROW()-34,$AJ$8:$AJ$32,0))&gt;=2,INDEX(Res_Nombre,MATCH(ROW()-34,$AJ$8:$AJ$32,0)),""),"")</f>
        <v/>
      </c>
      <c r="C36" s="75"/>
      <c r="D36" s="75"/>
      <c r="E36" s="75"/>
      <c r="F36" s="75"/>
      <c r="G36" s="75"/>
      <c r="H36" s="75"/>
      <c r="I36" s="75"/>
      <c r="J36" s="75"/>
      <c r="K36" s="75"/>
      <c r="L36" s="75"/>
      <c r="M36" s="75"/>
      <c r="N36" s="85" t="str">
        <f>IFERROR(IF(INDEX(Res_RangoMot,MATCH(ROW()-34,$AJ$8:$AJ$32,0))-INDEX(Ind_RangoMot,MATCH(ROW()-34,$AJ$8:$AJ$32,0))&gt;=2,"sube del puesto "&amp;INDEX(Res_RangoMot,MATCH(ROW()-34,$AJ$8:$AJ$32,0))&amp;" al "&amp;INDEX(Ind_RangoMot,MATCH(ROW()-34,$AJ$8:$AJ$32,0))&amp;" al encadenar las relaciones",""),"")</f>
        <v/>
      </c>
      <c r="O36" s="75"/>
      <c r="P36" s="75"/>
      <c r="Q36" s="75"/>
      <c r="R36" s="75"/>
      <c r="S36" s="75"/>
      <c r="T36" s="75"/>
      <c r="U36" s="75"/>
      <c r="V36" s="75"/>
      <c r="W36" s="75"/>
      <c r="X36" s="75"/>
      <c r="Y36" s="75"/>
      <c r="Z36" s="75"/>
      <c r="AA36" s="75"/>
      <c r="AB36" s="75"/>
      <c r="AC36" s="75"/>
      <c r="AD36" s="75"/>
      <c r="AE36" s="75"/>
    </row>
    <row r="37" spans="2:31" ht="20" customHeight="1" x14ac:dyDescent="0.2">
      <c r="B37" s="94" t="str">
        <f>IFERROR(IF(INDEX(Res_RangoMot,MATCH(ROW()-34,$AJ$8:$AJ$32,0))-INDEX(Ind_RangoMot,MATCH(ROW()-34,$AJ$8:$AJ$32,0))&gt;=2,INDEX(Res_Nombre,MATCH(ROW()-34,$AJ$8:$AJ$32,0)),""),"")</f>
        <v/>
      </c>
      <c r="C37" s="75"/>
      <c r="D37" s="75"/>
      <c r="E37" s="75"/>
      <c r="F37" s="75"/>
      <c r="G37" s="75"/>
      <c r="H37" s="75"/>
      <c r="I37" s="75"/>
      <c r="J37" s="75"/>
      <c r="K37" s="75"/>
      <c r="L37" s="75"/>
      <c r="M37" s="75"/>
      <c r="N37" s="85" t="str">
        <f>IFERROR(IF(INDEX(Res_RangoMot,MATCH(ROW()-34,$AJ$8:$AJ$32,0))-INDEX(Ind_RangoMot,MATCH(ROW()-34,$AJ$8:$AJ$32,0))&gt;=2,"sube del puesto "&amp;INDEX(Res_RangoMot,MATCH(ROW()-34,$AJ$8:$AJ$32,0))&amp;" al "&amp;INDEX(Ind_RangoMot,MATCH(ROW()-34,$AJ$8:$AJ$32,0))&amp;" al encadenar las relaciones",""),"")</f>
        <v/>
      </c>
      <c r="O37" s="75"/>
      <c r="P37" s="75"/>
      <c r="Q37" s="75"/>
      <c r="R37" s="75"/>
      <c r="S37" s="75"/>
      <c r="T37" s="75"/>
      <c r="U37" s="75"/>
      <c r="V37" s="75"/>
      <c r="W37" s="75"/>
      <c r="X37" s="75"/>
      <c r="Y37" s="75"/>
      <c r="Z37" s="75"/>
      <c r="AA37" s="75"/>
      <c r="AB37" s="75"/>
      <c r="AC37" s="75"/>
      <c r="AD37" s="75"/>
      <c r="AE37" s="75"/>
    </row>
    <row r="38" spans="2:31" ht="20" customHeight="1" x14ac:dyDescent="0.2">
      <c r="B38" s="94" t="str">
        <f>IFERROR(IF(INDEX(Res_RangoMot,MATCH(ROW()-34,$AJ$8:$AJ$32,0))-INDEX(Ind_RangoMot,MATCH(ROW()-34,$AJ$8:$AJ$32,0))&gt;=2,INDEX(Res_Nombre,MATCH(ROW()-34,$AJ$8:$AJ$32,0)),""),"")</f>
        <v/>
      </c>
      <c r="C38" s="75"/>
      <c r="D38" s="75"/>
      <c r="E38" s="75"/>
      <c r="F38" s="75"/>
      <c r="G38" s="75"/>
      <c r="H38" s="75"/>
      <c r="I38" s="75"/>
      <c r="J38" s="75"/>
      <c r="K38" s="75"/>
      <c r="L38" s="75"/>
      <c r="M38" s="75"/>
      <c r="N38" s="85" t="str">
        <f>IFERROR(IF(INDEX(Res_RangoMot,MATCH(ROW()-34,$AJ$8:$AJ$32,0))-INDEX(Ind_RangoMot,MATCH(ROW()-34,$AJ$8:$AJ$32,0))&gt;=2,"sube del puesto "&amp;INDEX(Res_RangoMot,MATCH(ROW()-34,$AJ$8:$AJ$32,0))&amp;" al "&amp;INDEX(Ind_RangoMot,MATCH(ROW()-34,$AJ$8:$AJ$32,0))&amp;" al encadenar las relaciones",""),"")</f>
        <v/>
      </c>
      <c r="O38" s="75"/>
      <c r="P38" s="75"/>
      <c r="Q38" s="75"/>
      <c r="R38" s="75"/>
      <c r="S38" s="75"/>
      <c r="T38" s="75"/>
      <c r="U38" s="75"/>
      <c r="V38" s="75"/>
      <c r="W38" s="75"/>
      <c r="X38" s="75"/>
      <c r="Y38" s="75"/>
      <c r="Z38" s="75"/>
      <c r="AA38" s="75"/>
      <c r="AB38" s="75"/>
      <c r="AC38" s="75"/>
      <c r="AD38" s="75"/>
      <c r="AE38" s="75"/>
    </row>
    <row r="39" spans="2:31" ht="20" customHeight="1" x14ac:dyDescent="0.2">
      <c r="B39" s="94" t="str">
        <f>IFERROR(IF(INDEX(Res_RangoMot,MATCH(ROW()-34,$AJ$8:$AJ$32,0))-INDEX(Ind_RangoMot,MATCH(ROW()-34,$AJ$8:$AJ$32,0))&gt;=2,INDEX(Res_Nombre,MATCH(ROW()-34,$AJ$8:$AJ$32,0)),""),"")</f>
        <v/>
      </c>
      <c r="C39" s="75"/>
      <c r="D39" s="75"/>
      <c r="E39" s="75"/>
      <c r="F39" s="75"/>
      <c r="G39" s="75"/>
      <c r="H39" s="75"/>
      <c r="I39" s="75"/>
      <c r="J39" s="75"/>
      <c r="K39" s="75"/>
      <c r="L39" s="75"/>
      <c r="M39" s="75"/>
      <c r="N39" s="85" t="str">
        <f>IFERROR(IF(INDEX(Res_RangoMot,MATCH(ROW()-34,$AJ$8:$AJ$32,0))-INDEX(Ind_RangoMot,MATCH(ROW()-34,$AJ$8:$AJ$32,0))&gt;=2,"sube del puesto "&amp;INDEX(Res_RangoMot,MATCH(ROW()-34,$AJ$8:$AJ$32,0))&amp;" al "&amp;INDEX(Ind_RangoMot,MATCH(ROW()-34,$AJ$8:$AJ$32,0))&amp;" al encadenar las relaciones",""),"")</f>
        <v/>
      </c>
      <c r="O39" s="75"/>
      <c r="P39" s="75"/>
      <c r="Q39" s="75"/>
      <c r="R39" s="75"/>
      <c r="S39" s="75"/>
      <c r="T39" s="75"/>
      <c r="U39" s="75"/>
      <c r="V39" s="75"/>
      <c r="W39" s="75"/>
      <c r="X39" s="75"/>
      <c r="Y39" s="75"/>
      <c r="Z39" s="75"/>
      <c r="AA39" s="75"/>
      <c r="AB39" s="75"/>
      <c r="AC39" s="75"/>
      <c r="AD39" s="75"/>
      <c r="AE39" s="75"/>
    </row>
    <row r="41" spans="2:31" ht="18" customHeight="1" x14ac:dyDescent="0.2">
      <c r="B41" s="77" t="s">
        <v>281</v>
      </c>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2:31" ht="26" customHeight="1" x14ac:dyDescent="0.2">
      <c r="B42" s="84" t="str">
        <f>'03 · Criterio'!$C$28</f>
        <v>Qué entendemos por influencia directa</v>
      </c>
      <c r="C42" s="75"/>
      <c r="D42" s="75"/>
      <c r="E42" s="75"/>
      <c r="F42" s="75"/>
      <c r="G42" s="75"/>
      <c r="H42" s="75"/>
      <c r="I42" s="75"/>
      <c r="J42" s="75"/>
      <c r="K42" s="75"/>
      <c r="L42" s="85" t="str">
        <f>'03 · Criterio'!$C$29</f>
        <v/>
      </c>
      <c r="M42" s="75"/>
      <c r="N42" s="75"/>
      <c r="O42" s="75"/>
      <c r="P42" s="75"/>
      <c r="Q42" s="75"/>
      <c r="R42" s="75"/>
      <c r="S42" s="75"/>
      <c r="T42" s="75"/>
      <c r="U42" s="75"/>
      <c r="V42" s="75"/>
      <c r="W42" s="75"/>
      <c r="X42" s="75"/>
      <c r="Y42" s="75"/>
      <c r="Z42" s="75"/>
      <c r="AA42" s="75"/>
      <c r="AB42" s="75"/>
      <c r="AC42" s="75"/>
      <c r="AD42" s="75"/>
      <c r="AE42" s="75"/>
    </row>
    <row r="43" spans="2:31" ht="26" customHeight="1" x14ac:dyDescent="0.2">
      <c r="B43" s="84" t="str">
        <f>'03 · Criterio'!$C$30</f>
        <v>Cuándo asignamos 3 y cuándo 2</v>
      </c>
      <c r="C43" s="75"/>
      <c r="D43" s="75"/>
      <c r="E43" s="75"/>
      <c r="F43" s="75"/>
      <c r="G43" s="75"/>
      <c r="H43" s="75"/>
      <c r="I43" s="75"/>
      <c r="J43" s="75"/>
      <c r="K43" s="75"/>
      <c r="L43" s="85" t="str">
        <f>'03 · Criterio'!$C$31</f>
        <v/>
      </c>
      <c r="M43" s="75"/>
      <c r="N43" s="75"/>
      <c r="O43" s="75"/>
      <c r="P43" s="75"/>
      <c r="Q43" s="75"/>
      <c r="R43" s="75"/>
      <c r="S43" s="75"/>
      <c r="T43" s="75"/>
      <c r="U43" s="75"/>
      <c r="V43" s="75"/>
      <c r="W43" s="75"/>
      <c r="X43" s="75"/>
      <c r="Y43" s="75"/>
      <c r="Z43" s="75"/>
      <c r="AA43" s="75"/>
      <c r="AB43" s="75"/>
      <c r="AC43" s="75"/>
      <c r="AD43" s="75"/>
      <c r="AE43" s="75"/>
    </row>
    <row r="44" spans="2:31" ht="26" customHeight="1" x14ac:dyDescent="0.2">
      <c r="B44" s="84" t="str">
        <f>'03 · Criterio'!$C$32</f>
        <v>Cuándo asignamos 4 y con qué horizonte</v>
      </c>
      <c r="C44" s="75"/>
      <c r="D44" s="75"/>
      <c r="E44" s="75"/>
      <c r="F44" s="75"/>
      <c r="G44" s="75"/>
      <c r="H44" s="75"/>
      <c r="I44" s="75"/>
      <c r="J44" s="75"/>
      <c r="K44" s="75"/>
      <c r="L44" s="85" t="str">
        <f>'03 · Criterio'!$C$33</f>
        <v/>
      </c>
      <c r="M44" s="75"/>
      <c r="N44" s="75"/>
      <c r="O44" s="75"/>
      <c r="P44" s="75"/>
      <c r="Q44" s="75"/>
      <c r="R44" s="75"/>
      <c r="S44" s="75"/>
      <c r="T44" s="75"/>
      <c r="U44" s="75"/>
      <c r="V44" s="75"/>
      <c r="W44" s="75"/>
      <c r="X44" s="75"/>
      <c r="Y44" s="75"/>
      <c r="Z44" s="75"/>
      <c r="AA44" s="75"/>
      <c r="AB44" s="75"/>
      <c r="AC44" s="75"/>
      <c r="AD44" s="75"/>
      <c r="AE44" s="75"/>
    </row>
    <row r="45" spans="2:31" ht="26" customHeight="1" x14ac:dyDescent="0.2">
      <c r="B45" s="84" t="str">
        <f>'03 · Criterio'!$C$34</f>
        <v>Casos límite y cómo los resolvemos</v>
      </c>
      <c r="C45" s="75"/>
      <c r="D45" s="75"/>
      <c r="E45" s="75"/>
      <c r="F45" s="75"/>
      <c r="G45" s="75"/>
      <c r="H45" s="75"/>
      <c r="I45" s="75"/>
      <c r="J45" s="75"/>
      <c r="K45" s="75"/>
      <c r="L45" s="85" t="str">
        <f>'03 · Criterio'!$C$35</f>
        <v/>
      </c>
      <c r="M45" s="75"/>
      <c r="N45" s="75"/>
      <c r="O45" s="75"/>
      <c r="P45" s="75"/>
      <c r="Q45" s="75"/>
      <c r="R45" s="75"/>
      <c r="S45" s="75"/>
      <c r="T45" s="75"/>
      <c r="U45" s="75"/>
      <c r="V45" s="75"/>
      <c r="W45" s="75"/>
      <c r="X45" s="75"/>
      <c r="Y45" s="75"/>
      <c r="Z45" s="75"/>
      <c r="AA45" s="75"/>
      <c r="AB45" s="75"/>
      <c r="AC45" s="75"/>
      <c r="AD45" s="75"/>
      <c r="AE45" s="75"/>
    </row>
    <row r="47" spans="2:31" ht="18" customHeight="1" x14ac:dyDescent="0.2">
      <c r="B47" s="77" t="s">
        <v>282</v>
      </c>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row>
    <row r="48" spans="2:31" ht="26" customHeight="1" x14ac:dyDescent="0.2">
      <c r="B48" s="85" t="str">
        <f>IF(Var_N&lt;2,"",IF((OR(Ind_Densidad&lt;0.2,Ind_Densidad&gt;0.25))*1+(IF(Ind_NoNulas=0,0,COUNTIF('04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Criterio'!$D$19="4")),0,1)&gt;0))*1=0,"El estudio no presenta situaciones atípicas. Todos los indicadores están dentro de su rango esperable.","El estudio presenta "&amp;(OR(Ind_Densidad&lt;0.2,Ind_Densidad&gt;0.25))*1+(IF(Ind_NoNulas=0,0,COUNTIF('04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Criterio'!$D$19="4")),0,1)&gt;0))*1&amp;IF((OR(Ind_Densidad&lt;0.2,Ind_Densidad&gt;0.25))*1+(IF(Ind_NoNulas=0,0,COUNTIF('04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Criterio'!$D$19="4")),0,1)&gt;0))*1=1," situación que conviene tener"," situaciones que conviene tener")&amp;" en cuenta al leer los resultados:"))</f>
        <v>El estudio presenta 1 situación que conviene tener en cuenta al leer los resultados:</v>
      </c>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row>
    <row r="49" spans="2:31" ht="20" customHeight="1" x14ac:dyDescent="0.2">
      <c r="B49" s="85" t="str">
        <f>IF(Var_N&lt;2,"",IF(OR(Ind_Densidad&lt;0.2,Ind_Densidad&gt;0.25),"·  "&amp;"Densidad del "&amp;ROUND(Ind_Densidad*100,1)&amp;" %, fuera del rango habitual del 20 % al 25 %.",""))</f>
        <v>·  Densidad del 0 %, fuera del rango habitual del 20 % al 25 %.</v>
      </c>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row>
    <row r="50" spans="2:31" ht="20" customHeight="1" x14ac:dyDescent="0.2">
      <c r="B50" s="85" t="str">
        <f>IF(Var_N&lt;2,"",IF(IF(Ind_NoNulas=0,0,COUNTIF('04 · Matriz'!$C$6:$AA$30,3)/Ind_NoNulas)&gt;0.6,"·  "&amp;"El "&amp;ROUND(IF(Ind_NoNulas=0,0,COUNTIF('04 · Matriz'!$C$6:$AA$30,3)/Ind_NoNulas)*100,0)&amp;" % de las relaciones se valoraron como 3: el panel puede no estar distinguiendo intensidades.",""))</f>
        <v/>
      </c>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row>
    <row r="51" spans="2:31" ht="20" customHeight="1" x14ac:dyDescent="0.2">
      <c r="B51" s="85" t="str">
        <f>IF(Var_N&lt;2,"",IF(IF(Var_N&lt;2,0,SUMPRODUCT((Res_Motricidad=0)*(ROW(Res_Motricidad)-ROW(INDEX(Res_Motricidad,1))+1&lt;=Var_N))+SUMPRODUCT((Res_Dependencia=0)*(ROW(Res_Dependencia)-ROW(INDEX(Res_Dependencia,1))+1&lt;=Var_N)))&gt;0,"·  "&amp;IF(Var_N&lt;2,0,SUMPRODUCT((Res_Motricidad=0)*(ROW(Res_Motricidad)-ROW(INDEX(Res_Motricidad,1))+1&lt;=Var_N))+SUMPRODUCT((Res_Dependencia=0)*(ROW(Res_Dependencia)-ROW(INDEX(Res_Dependencia,1))+1&lt;=Var_N)))&amp;IF(IF(Var_N&lt;2,0,SUMPRODUCT((Res_Motricidad=0)*(ROW(Res_Motricidad)-ROW(INDEX(Res_Motricidad,1))+1&lt;=Var_N))+SUMPRODUCT((Res_Dependencia=0)*(ROW(Res_Dependencia)-ROW(INDEX(Res_Dependencia,1))+1&lt;=Var_N)))=1," factor quedó aislado"," factores quedaron aislados")&amp;" en la matriz.",""))</f>
        <v/>
      </c>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row>
    <row r="52" spans="2:31" ht="20" customHeight="1" x14ac:dyDescent="0.2">
      <c r="B52" s="85" t="str">
        <f>IF(Var_N&lt;2,"",IF(SUMPRODUCT(('02 · Variables'!$C$7:$C$31&lt;&gt;"")*(COUNTIF('02 · Variables'!$C$7:$C$31,LEFT('02 · Variables'!$C$7:$C$31,12)&amp;"*")&gt;1))-SUMPRODUCT(('02 · Variables'!$C$7:$C$31&lt;&gt;"")*(COUNTIF('02 · Variables'!$C$7:$C$31,'02 · Variables'!$C$7:$C$31&amp;"")&gt;1))&gt;0,"·  "&amp;SUMPRODUCT(('02 · Variables'!$C$7:$C$31&lt;&gt;"")*(COUNTIF('02 · Variables'!$C$7:$C$31,LEFT('02 · Variables'!$C$7:$C$31,12)&amp;"*")&gt;1))-SUMPRODUCT(('02 · Variables'!$C$7:$C$31&lt;&gt;"")*(COUNTIF('02 · Variables'!$C$7:$C$31,'02 · Variables'!$C$7:$C$31&amp;"")&gt;1))&amp;IF(SUMPRODUCT(('02 · Variables'!$C$7:$C$31&lt;&gt;"")*(COUNTIF('02 · Variables'!$C$7:$C$31,LEFT('02 · Variables'!$C$7:$C$31,12)&amp;"*")&gt;1))-SUMPRODUCT(('02 · Variables'!$C$7:$C$31&lt;&gt;"")*(COUNTIF('02 · Variables'!$C$7:$C$31,'02 · Variables'!$C$7:$C$31&amp;"")&gt;1))=1," nombre de factor resulta casi idéntico a otro"," nombres de factor resultan casi idénticos entre sí")&amp;".",""))</f>
        <v/>
      </c>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row>
    <row r="53" spans="2:31" ht="20" customHeight="1" x14ac:dyDescent="0.2">
      <c r="B53" s="85" t="str">
        <f>IF(Var_N&lt;2,"",IF(COUNTIF(Res_Tipologia,"5 · Pelotón (no concluyente)")&gt;Var_N*0.4,"·  "&amp;COUNTIF(Res_Tipologia,"5 · Pelotón (no concluyente)")&amp;" factores caen en la zona de indeterminación: el plano discrimina poco.",""))</f>
        <v/>
      </c>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row>
    <row r="54" spans="2:31" ht="20" customHeight="1" x14ac:dyDescent="0.2">
      <c r="B54" s="85" t="str">
        <f>IF(Var_N&lt;2,"",IF(OR((IF(OR('03 · Criterio'!$D$13="",OR('03 · Criterio'!$D$13=0,'03 · Criterio'!$D$13="0")),0,1)+IF(OR('03 · Criterio'!$D$15="",OR('03 · Criterio'!$D$15=0,'03 · Criterio'!$D$15="0")),0,1))&gt;0,IF(OR('03 · Criterio'!$D$19="",OR('03 · Criterio'!$D$19=4,'03 · Criterio'!$D$19="4")),0,1)&gt;0),"·  "&amp;"Durante la calibración el panel resolvió algún caso de forma incoherente con el método.",""))</f>
        <v/>
      </c>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row>
    <row r="55" spans="2:31" ht="18" customHeight="1" x14ac:dyDescent="0.2">
      <c r="B55" s="77" t="s">
        <v>283</v>
      </c>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row>
    <row r="56" spans="2:31" ht="20" customHeight="1" x14ac:dyDescent="0.2">
      <c r="B56" s="85" t="s">
        <v>284</v>
      </c>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row>
    <row r="57" spans="2:31" ht="20" customHeight="1" x14ac:dyDescent="0.2">
      <c r="B57" s="85" t="s">
        <v>285</v>
      </c>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row>
    <row r="58" spans="2:31" ht="20" customHeight="1" x14ac:dyDescent="0.2">
      <c r="B58" s="85" t="s">
        <v>286</v>
      </c>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row>
    <row r="59" spans="2:31" ht="20" customHeight="1" x14ac:dyDescent="0.2">
      <c r="B59" s="85" t="s">
        <v>287</v>
      </c>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row>
    <row r="61" spans="2:31" ht="18" customHeight="1" x14ac:dyDescent="0.2">
      <c r="B61" s="77" t="s">
        <v>288</v>
      </c>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row>
    <row r="62" spans="2:31" ht="54" customHeight="1" x14ac:dyDescent="0.2">
      <c r="B62" s="100" t="s">
        <v>141</v>
      </c>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row>
    <row r="64" spans="2:31" ht="10" customHeight="1" x14ac:dyDescent="0.2">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row>
    <row r="65" spans="2:31" ht="20" customHeight="1" x14ac:dyDescent="0.2">
      <c r="B65" s="85" t="str">
        <f>IF(Var_N&lt;2,"","MICMAC Essentials v1.0  ·  IntelKIT  ·  Método conforme al Cahier LIPSOR SR-10 (Godet, Durance y Gerber, 2008)  ·  Este informe se genera con los datos del propio estudio.")</f>
        <v>MICMAC Essentials v1.0  ·  IntelKIT  ·  Método conforme al Cahier LIPSOR SR-10 (Godet, Durance y Gerber, 2008)  ·  Este informe se genera con los datos del propio estudio.</v>
      </c>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row>
    <row r="67" spans="2:31" ht="26" customHeight="1" x14ac:dyDescent="0.2">
      <c r="B67" s="97" t="str">
        <f>IF(Var_N&lt;2,"● Aún no hay datos",IF((COUNTA('01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Matriz'!$C$6:$AA$30&lt;&gt;""))-Var_N&gt;=Ind_Preguntas)))*1+(SUM(Res_Motricidad)=0)*1&gt;0,"● Faltan requisitos: revise el paso 6 antes de entregar este informe","● Terminado. Imprima esta hoja o expórtela a PDF."))</f>
        <v>● Faltan requisitos: revise el paso 6 antes de entregar este informe</v>
      </c>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row>
    <row r="68" spans="2:31" ht="22" customHeight="1" x14ac:dyDescent="0.2">
      <c r="B68" s="106" t="s">
        <v>289</v>
      </c>
      <c r="C68" s="75"/>
      <c r="D68" s="75"/>
      <c r="E68" s="75"/>
      <c r="F68" s="75"/>
      <c r="G68" s="75"/>
      <c r="H68" s="75"/>
    </row>
  </sheetData>
  <sheetProtection password="CD7E" sheet="1" formatCells="0" formatColumns="0" formatRows="0" insertRows="0"/>
  <mergeCells count="86">
    <mergeCell ref="B64:AE64"/>
    <mergeCell ref="B65:AE65"/>
    <mergeCell ref="B67:AE67"/>
    <mergeCell ref="B68:H68"/>
    <mergeCell ref="B57:AE57"/>
    <mergeCell ref="B58:AE58"/>
    <mergeCell ref="B59:AE59"/>
    <mergeCell ref="B61:AE61"/>
    <mergeCell ref="B62:AE62"/>
    <mergeCell ref="B52:AE52"/>
    <mergeCell ref="B53:AE53"/>
    <mergeCell ref="B54:AE54"/>
    <mergeCell ref="B55:AE55"/>
    <mergeCell ref="B56:AE56"/>
    <mergeCell ref="B47:AE47"/>
    <mergeCell ref="B48:AE48"/>
    <mergeCell ref="B49:AE49"/>
    <mergeCell ref="B50:AE50"/>
    <mergeCell ref="B51:AE51"/>
    <mergeCell ref="B43:K43"/>
    <mergeCell ref="L43:AE43"/>
    <mergeCell ref="B44:K44"/>
    <mergeCell ref="L44:AE44"/>
    <mergeCell ref="B45:K45"/>
    <mergeCell ref="L45:AE45"/>
    <mergeCell ref="B39:M39"/>
    <mergeCell ref="N39:AE39"/>
    <mergeCell ref="B41:AE41"/>
    <mergeCell ref="B42:K42"/>
    <mergeCell ref="L42:AE42"/>
    <mergeCell ref="B36:M36"/>
    <mergeCell ref="N36:AE36"/>
    <mergeCell ref="B37:M37"/>
    <mergeCell ref="N37:AE37"/>
    <mergeCell ref="B38:M38"/>
    <mergeCell ref="N38:AE38"/>
    <mergeCell ref="B31:M31"/>
    <mergeCell ref="N31:AE31"/>
    <mergeCell ref="B33:AE33"/>
    <mergeCell ref="B34:AE34"/>
    <mergeCell ref="B35:M35"/>
    <mergeCell ref="N35:AE35"/>
    <mergeCell ref="B28:M28"/>
    <mergeCell ref="N28:AE28"/>
    <mergeCell ref="B29:M29"/>
    <mergeCell ref="N29:AE29"/>
    <mergeCell ref="B30:M30"/>
    <mergeCell ref="N30:AE30"/>
    <mergeCell ref="B24:AE24"/>
    <mergeCell ref="B25:AE25"/>
    <mergeCell ref="B26:M26"/>
    <mergeCell ref="N26:AE26"/>
    <mergeCell ref="B27:M27"/>
    <mergeCell ref="N27:AE27"/>
    <mergeCell ref="B18:AE18"/>
    <mergeCell ref="B20:AE20"/>
    <mergeCell ref="B21:G21"/>
    <mergeCell ref="B22:G22"/>
    <mergeCell ref="H21:M21"/>
    <mergeCell ref="H22:M22"/>
    <mergeCell ref="N21:S21"/>
    <mergeCell ref="N22:S22"/>
    <mergeCell ref="T21:Y21"/>
    <mergeCell ref="T22:Y22"/>
    <mergeCell ref="Z21:AE21"/>
    <mergeCell ref="Z22:AE22"/>
    <mergeCell ref="B11:AE11"/>
    <mergeCell ref="B12:AE12"/>
    <mergeCell ref="B14:AE14"/>
    <mergeCell ref="B15:AE15"/>
    <mergeCell ref="B17:AE17"/>
    <mergeCell ref="B4:AE4"/>
    <mergeCell ref="B5:AE5"/>
    <mergeCell ref="B8:AE8"/>
    <mergeCell ref="B9:AE9"/>
    <mergeCell ref="B10:AE10"/>
    <mergeCell ref="R2:U2"/>
    <mergeCell ref="V2:Y2"/>
    <mergeCell ref="Z2:AA2"/>
    <mergeCell ref="AB2:AE2"/>
    <mergeCell ref="B3:AE3"/>
    <mergeCell ref="B1:O1"/>
    <mergeCell ref="B2:E2"/>
    <mergeCell ref="F2:I2"/>
    <mergeCell ref="J2:M2"/>
    <mergeCell ref="N2:Q2"/>
  </mergeCells>
  <hyperlinks>
    <hyperlink ref="B2" location="'01 · Encuadre'!A1" display="Encuadre" xr:uid="{00000000-0004-0000-0600-000000000000}"/>
    <hyperlink ref="F2" location="'02 · Variables'!A1" display="Variables" xr:uid="{00000000-0004-0000-0600-000001000000}"/>
    <hyperlink ref="J2" location="'03 · Criterio'!A1" display="Criterio" xr:uid="{00000000-0004-0000-0600-000002000000}"/>
    <hyperlink ref="N2" location="'04 · Matriz'!A1" display="Matriz" xr:uid="{00000000-0004-0000-0600-000003000000}"/>
    <hyperlink ref="R2" location="'05 · Resultado'!A1" display="Resultado" xr:uid="{00000000-0004-0000-0600-000004000000}"/>
    <hyperlink ref="V2" location="'Comprobación'!A1" display="Revisión" xr:uid="{00000000-0004-0000-0600-000005000000}"/>
    <hyperlink ref="Z2" location="'06 · Informe'!A1" display="Informe" xr:uid="{00000000-0004-0000-0600-000006000000}"/>
    <hyperlink ref="AB2" location="Inicio!A1" display="Inicio" xr:uid="{00000000-0004-0000-0600-000007000000}"/>
    <hyperlink ref="B68" location="Inicio!A1" display="Inicio" xr:uid="{00000000-0004-0000-0600-000008000000}"/>
  </hyperlinks>
  <pageMargins left="0.4" right="0.4" top="0.5" bottom="0.5" header="0.3" footer="0.3"/>
  <pageSetup paperSize="9" fitToHeight="0" orientation="portrait"/>
  <headerFooter>
    <oddFooter>&amp;L&amp;"Aptos,Regular"&amp;8&amp;K94A0AEIntelKIT · MICMAC Essentials v1.0&amp;R&amp;"Aptos,Regular"&amp;8&amp;K94A0AEPágina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4A0AE"/>
    <pageSetUpPr fitToPage="1"/>
  </sheetPr>
  <dimension ref="A1:D30"/>
  <sheetViews>
    <sheetView showGridLines="0" zoomScaleNormal="100" workbookViewId="0">
      <pane ySplit="6" topLeftCell="A7" activePane="bottomLeft" state="frozen"/>
      <selection pane="bottomLeft"/>
    </sheetView>
  </sheetViews>
  <sheetFormatPr baseColWidth="10" defaultRowHeight="15" x14ac:dyDescent="0.2"/>
  <cols>
    <col min="1" max="1" width="3" customWidth="1"/>
    <col min="2" max="2" width="30" customWidth="1"/>
    <col min="3" max="3" width="62" customWidth="1"/>
    <col min="4" max="4" width="22" customWidth="1"/>
  </cols>
  <sheetData>
    <row r="1" spans="1:4" ht="26" customHeight="1" x14ac:dyDescent="0.2">
      <c r="A1" s="36"/>
      <c r="B1" s="73" t="s">
        <v>94</v>
      </c>
      <c r="C1" s="73"/>
      <c r="D1" s="37" t="s">
        <v>290</v>
      </c>
    </row>
    <row r="2" spans="1:4" ht="20" customHeight="1" x14ac:dyDescent="0.2">
      <c r="B2" s="106" t="s">
        <v>289</v>
      </c>
      <c r="C2" s="75"/>
    </row>
    <row r="3" spans="1:4" ht="34" customHeight="1" x14ac:dyDescent="0.2">
      <c r="B3" s="76" t="s">
        <v>291</v>
      </c>
      <c r="C3" s="75"/>
      <c r="D3" s="75"/>
    </row>
    <row r="4" spans="1:4" ht="22" customHeight="1" x14ac:dyDescent="0.2">
      <c r="B4" s="74" t="s">
        <v>292</v>
      </c>
      <c r="C4" s="75"/>
      <c r="D4" s="75"/>
    </row>
    <row r="5" spans="1:4" ht="32" customHeight="1" x14ac:dyDescent="0.2">
      <c r="A5" s="41"/>
      <c r="B5" s="89" t="s">
        <v>293</v>
      </c>
      <c r="C5" s="102"/>
      <c r="D5" s="102"/>
    </row>
    <row r="6" spans="1:4" ht="8" customHeight="1" x14ac:dyDescent="0.2">
      <c r="B6" s="45"/>
    </row>
    <row r="7" spans="1:4" ht="48" customHeight="1" x14ac:dyDescent="0.2">
      <c r="B7" s="53" t="s">
        <v>294</v>
      </c>
      <c r="C7" s="85" t="s">
        <v>295</v>
      </c>
      <c r="D7" s="75"/>
    </row>
    <row r="8" spans="1:4" ht="6" customHeight="1" x14ac:dyDescent="0.2">
      <c r="B8" s="45"/>
      <c r="C8" s="45"/>
      <c r="D8" s="45"/>
    </row>
    <row r="9" spans="1:4" ht="48" customHeight="1" x14ac:dyDescent="0.2">
      <c r="B9" s="53" t="s">
        <v>296</v>
      </c>
      <c r="C9" s="85" t="s">
        <v>297</v>
      </c>
      <c r="D9" s="75"/>
    </row>
    <row r="10" spans="1:4" ht="6" customHeight="1" x14ac:dyDescent="0.2">
      <c r="B10" s="45"/>
      <c r="C10" s="45"/>
      <c r="D10" s="45"/>
    </row>
    <row r="11" spans="1:4" ht="48" customHeight="1" x14ac:dyDescent="0.2">
      <c r="B11" s="53" t="s">
        <v>298</v>
      </c>
      <c r="C11" s="85" t="s">
        <v>299</v>
      </c>
      <c r="D11" s="75"/>
    </row>
    <row r="12" spans="1:4" ht="6" customHeight="1" x14ac:dyDescent="0.2">
      <c r="B12" s="45"/>
      <c r="C12" s="45"/>
      <c r="D12" s="45"/>
    </row>
    <row r="13" spans="1:4" ht="48" customHeight="1" x14ac:dyDescent="0.2">
      <c r="B13" s="53" t="s">
        <v>300</v>
      </c>
      <c r="C13" s="85" t="s">
        <v>301</v>
      </c>
      <c r="D13" s="75"/>
    </row>
    <row r="14" spans="1:4" ht="6" customHeight="1" x14ac:dyDescent="0.2">
      <c r="B14" s="45"/>
      <c r="C14" s="45"/>
      <c r="D14" s="45"/>
    </row>
    <row r="15" spans="1:4" ht="48" customHeight="1" x14ac:dyDescent="0.2">
      <c r="B15" s="53" t="s">
        <v>302</v>
      </c>
      <c r="C15" s="85" t="s">
        <v>303</v>
      </c>
      <c r="D15" s="75"/>
    </row>
    <row r="16" spans="1:4" ht="6" customHeight="1" x14ac:dyDescent="0.2">
      <c r="B16" s="45"/>
      <c r="C16" s="45"/>
      <c r="D16" s="45"/>
    </row>
    <row r="17" spans="2:4" ht="48" customHeight="1" x14ac:dyDescent="0.2">
      <c r="B17" s="53" t="s">
        <v>304</v>
      </c>
      <c r="C17" s="85" t="s">
        <v>305</v>
      </c>
      <c r="D17" s="75"/>
    </row>
    <row r="18" spans="2:4" ht="6" customHeight="1" x14ac:dyDescent="0.2">
      <c r="B18" s="45"/>
      <c r="C18" s="45"/>
      <c r="D18" s="45"/>
    </row>
    <row r="19" spans="2:4" ht="48" customHeight="1" x14ac:dyDescent="0.2">
      <c r="B19" s="53" t="s">
        <v>306</v>
      </c>
      <c r="C19" s="85" t="s">
        <v>307</v>
      </c>
      <c r="D19" s="75"/>
    </row>
    <row r="20" spans="2:4" ht="6" customHeight="1" x14ac:dyDescent="0.2">
      <c r="B20" s="45"/>
      <c r="C20" s="45"/>
      <c r="D20" s="45"/>
    </row>
    <row r="21" spans="2:4" ht="48" customHeight="1" x14ac:dyDescent="0.2">
      <c r="B21" s="53" t="s">
        <v>308</v>
      </c>
      <c r="C21" s="85" t="s">
        <v>309</v>
      </c>
      <c r="D21" s="75"/>
    </row>
    <row r="22" spans="2:4" ht="22" customHeight="1" x14ac:dyDescent="0.2">
      <c r="B22" s="77" t="s">
        <v>310</v>
      </c>
      <c r="C22" s="119"/>
      <c r="D22" s="119"/>
    </row>
    <row r="23" spans="2:4" ht="24" customHeight="1" x14ac:dyDescent="0.2">
      <c r="B23" s="44" t="s">
        <v>311</v>
      </c>
      <c r="C23" s="27">
        <v>0.1</v>
      </c>
      <c r="D23" s="30" t="s">
        <v>312</v>
      </c>
    </row>
    <row r="24" spans="2:4" ht="24" customHeight="1" x14ac:dyDescent="0.2">
      <c r="B24" s="44" t="s">
        <v>313</v>
      </c>
      <c r="C24" s="22" t="s">
        <v>314</v>
      </c>
      <c r="D24" s="30"/>
    </row>
    <row r="25" spans="2:4" ht="24" customHeight="1" x14ac:dyDescent="0.2">
      <c r="B25" s="44" t="s">
        <v>315</v>
      </c>
      <c r="C25" s="22" t="s">
        <v>316</v>
      </c>
      <c r="D25" s="30"/>
    </row>
    <row r="26" spans="2:4" ht="22" customHeight="1" x14ac:dyDescent="0.2">
      <c r="B26" s="83" t="s">
        <v>317</v>
      </c>
      <c r="C26" s="75"/>
      <c r="D26" s="75"/>
    </row>
    <row r="28" spans="2:4" ht="22" customHeight="1" x14ac:dyDescent="0.2">
      <c r="B28" s="77" t="s">
        <v>318</v>
      </c>
      <c r="C28" s="75"/>
      <c r="D28" s="75"/>
    </row>
    <row r="29" spans="2:4" ht="32" customHeight="1" x14ac:dyDescent="0.2">
      <c r="B29" s="94" t="s">
        <v>319</v>
      </c>
      <c r="C29" s="75"/>
      <c r="D29" s="75"/>
    </row>
    <row r="30" spans="2:4" ht="22" customHeight="1" x14ac:dyDescent="0.2">
      <c r="B30" s="83" t="s">
        <v>320</v>
      </c>
      <c r="C30" s="75"/>
      <c r="D30" s="75"/>
    </row>
  </sheetData>
  <sheetProtection password="CD7E" sheet="1" formatCells="0" formatColumns="0" formatRows="0" insertRows="0"/>
  <mergeCells count="18">
    <mergeCell ref="B28:D28"/>
    <mergeCell ref="B29:D29"/>
    <mergeCell ref="B30:D30"/>
    <mergeCell ref="C17:D17"/>
    <mergeCell ref="C19:D19"/>
    <mergeCell ref="C21:D21"/>
    <mergeCell ref="B22:D22"/>
    <mergeCell ref="B26:D26"/>
    <mergeCell ref="C7:D7"/>
    <mergeCell ref="C9:D9"/>
    <mergeCell ref="C11:D11"/>
    <mergeCell ref="C13:D13"/>
    <mergeCell ref="C15:D15"/>
    <mergeCell ref="B1:C1"/>
    <mergeCell ref="B2:C2"/>
    <mergeCell ref="B3:D3"/>
    <mergeCell ref="B4:D4"/>
    <mergeCell ref="B5:D5"/>
  </mergeCells>
  <hyperlinks>
    <hyperlink ref="B2" location="Inicio!A1" display="Inicio" xr:uid="{00000000-0004-0000-0700-000000000000}"/>
  </hyperlinks>
  <pageMargins left="0.4" right="0.4" top="0.5" bottom="0.5" header="0.3" footer="0.3"/>
  <pageSetup paperSize="9" fitToHeight="0" orientation="portrait"/>
  <headerFooter>
    <oddFooter>&amp;L&amp;"Aptos,Regular"&amp;8&amp;K94A0AEIntelKIT · MICMAC Essentials v1.0&amp;R&amp;"Aptos,Regular"&amp;8&amp;K94A0AEPágina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4A0AE"/>
    <pageSetUpPr fitToPage="1"/>
  </sheetPr>
  <dimension ref="A1:G45"/>
  <sheetViews>
    <sheetView showGridLines="0" zoomScaleNormal="100" workbookViewId="0">
      <pane ySplit="6" topLeftCell="A7" activePane="bottomLeft" state="frozen"/>
      <selection pane="bottomLeft"/>
    </sheetView>
  </sheetViews>
  <sheetFormatPr baseColWidth="10" defaultRowHeight="15" x14ac:dyDescent="0.2"/>
  <cols>
    <col min="1" max="1" width="3" customWidth="1"/>
    <col min="2" max="2" width="34" customWidth="1"/>
    <col min="3" max="3" width="14" customWidth="1"/>
    <col min="4" max="4" width="16" customWidth="1"/>
    <col min="5" max="5" width="46" customWidth="1"/>
    <col min="6" max="6" width="20" customWidth="1"/>
    <col min="7" max="7" width="14" customWidth="1"/>
  </cols>
  <sheetData>
    <row r="1" spans="1:7" ht="28" customHeight="1" x14ac:dyDescent="0.2">
      <c r="A1" s="36"/>
      <c r="B1" s="73" t="s">
        <v>94</v>
      </c>
      <c r="C1" s="73"/>
      <c r="D1" s="36"/>
      <c r="E1" s="36"/>
      <c r="F1" s="36"/>
      <c r="G1" s="37" t="s">
        <v>321</v>
      </c>
    </row>
    <row r="2" spans="1:7" ht="24" customHeight="1" x14ac:dyDescent="0.2">
      <c r="B2" s="39" t="str">
        <f>IF(COUNTA('01 · Encuadre'!$B$10,'01 · Encuadre'!$B$14,'01 · Encuadre'!$B$18,'01 · Encuadre'!$B$22)=4,"✓ 1 · Encuadre","1 · Encuadre")</f>
        <v>✓ 1 · Encuadre</v>
      </c>
      <c r="C2" s="39" t="str">
        <f>IF(COUNTA('02 · Variables'!$C$7:$C$31)&gt;=8,"✓ 2 · Variables","2 · Variables")</f>
        <v>✓ 2 · Variables</v>
      </c>
      <c r="D2" s="39" t="str">
        <f>IF(COUNTA('03 · Criterio'!$D$9:$D$23)=8,"✓ 3 · Criterio","3 · Criterio")</f>
        <v>✓ 3 · Criterio</v>
      </c>
      <c r="E2" s="39" t="str">
        <f>IF((SUMPRODUCT((ROW('04 · Matriz'!$C$6:$AA$30)-5&lt;=Var_N)*(COLUMN('04 · Matriz'!$C$6:$AA$30)-2&lt;=Var_N)*('04 · Matriz'!$C$6:$AA$30&lt;&gt;""))-Var_N&gt;=Ind_Preguntas),"✓ 4 · Matriz","4 · Matriz")</f>
        <v>4 · Matriz</v>
      </c>
      <c r="F2" s="39" t="str">
        <f>IF((SUMPRODUCT((ROW('04 · Matriz'!$C$6:$AA$30)-5&lt;=Var_N)*(COLUMN('04 · Matriz'!$C$6:$AA$30)-2&lt;=Var_N)*('04 · Matriz'!$C$6:$AA$30&lt;&gt;""))-Var_N&gt;=Ind_Preguntas),"✓ 5 · Resultado","5 · Resultado")</f>
        <v>5 · Resultado</v>
      </c>
      <c r="G2" s="40" t="s">
        <v>135</v>
      </c>
    </row>
    <row r="3" spans="1:7" ht="38" customHeight="1" x14ac:dyDescent="0.2">
      <c r="B3" s="76" t="s">
        <v>322</v>
      </c>
      <c r="C3" s="75"/>
      <c r="D3" s="75"/>
      <c r="E3" s="75"/>
      <c r="F3" s="75"/>
    </row>
    <row r="4" spans="1:7" ht="24" customHeight="1" x14ac:dyDescent="0.2">
      <c r="B4" s="88" t="s">
        <v>323</v>
      </c>
      <c r="C4" s="75"/>
      <c r="D4" s="75"/>
      <c r="E4" s="75"/>
      <c r="F4" s="75"/>
      <c r="G4" s="75"/>
    </row>
    <row r="5" spans="1:7" ht="30" customHeight="1" x14ac:dyDescent="0.2">
      <c r="B5" s="89" t="s">
        <v>324</v>
      </c>
      <c r="C5" s="75"/>
      <c r="D5" s="75"/>
      <c r="E5" s="75"/>
      <c r="F5" s="75"/>
      <c r="G5" s="75"/>
    </row>
    <row r="6" spans="1:7" ht="10" customHeight="1" x14ac:dyDescent="0.2">
      <c r="B6" s="56"/>
      <c r="C6" s="56"/>
      <c r="D6" s="56"/>
      <c r="E6" s="56"/>
      <c r="F6" s="56"/>
      <c r="G6" s="56"/>
    </row>
    <row r="7" spans="1:7" ht="22" customHeight="1" x14ac:dyDescent="0.2">
      <c r="B7" s="77" t="s">
        <v>325</v>
      </c>
      <c r="C7" s="75"/>
      <c r="D7" s="75"/>
      <c r="E7" s="75"/>
      <c r="F7" s="75"/>
      <c r="G7" s="75"/>
    </row>
    <row r="8" spans="1:7" ht="20" customHeight="1" x14ac:dyDescent="0.2">
      <c r="B8" s="51" t="s">
        <v>326</v>
      </c>
      <c r="C8" s="52" t="s">
        <v>327</v>
      </c>
      <c r="D8" s="52" t="s">
        <v>328</v>
      </c>
      <c r="E8" s="51" t="s">
        <v>329</v>
      </c>
      <c r="F8" s="51" t="s">
        <v>141</v>
      </c>
      <c r="G8" s="51" t="s">
        <v>141</v>
      </c>
    </row>
    <row r="9" spans="1:7" ht="32" customHeight="1" x14ac:dyDescent="0.2">
      <c r="B9" s="53" t="s">
        <v>330</v>
      </c>
      <c r="C9" s="54" t="str">
        <f>IF(Var_N&lt;2,"—",IF((SUMPRODUCT((ROW('04 · Matriz'!$C$6:$AA$30)-5&lt;=Var_N)*(COLUMN('04 · Matriz'!$C$6:$AA$30)-2&lt;=Var_N)*('04 · Matriz'!$C$6:$AA$30&lt;&gt;""))-Var_N&gt;=Ind_Preguntas),"Sí","No"))</f>
        <v>No</v>
      </c>
      <c r="D9" s="58" t="s">
        <v>331</v>
      </c>
      <c r="E9" s="85" t="s">
        <v>332</v>
      </c>
      <c r="F9" s="75"/>
      <c r="G9" s="75"/>
    </row>
    <row r="10" spans="1:7" ht="32" customHeight="1" x14ac:dyDescent="0.2">
      <c r="B10" s="53" t="s">
        <v>333</v>
      </c>
      <c r="C10" s="27">
        <f>Ind_Densidad</f>
        <v>0</v>
      </c>
      <c r="D10" s="58" t="s">
        <v>334</v>
      </c>
      <c r="E10" s="85" t="s">
        <v>335</v>
      </c>
      <c r="F10" s="75"/>
      <c r="G10" s="75"/>
    </row>
    <row r="11" spans="1:7" ht="32" customHeight="1" x14ac:dyDescent="0.2">
      <c r="B11" s="53" t="s">
        <v>336</v>
      </c>
      <c r="C11" s="27" t="str">
        <f>IF(Ind_NoNulas=0,"—",COUNTIF('04 · Matriz'!$C$6:$AA$30,3)/Ind_NoNulas)</f>
        <v>—</v>
      </c>
      <c r="D11" s="58" t="s">
        <v>337</v>
      </c>
      <c r="E11" s="85" t="s">
        <v>338</v>
      </c>
      <c r="F11" s="75"/>
      <c r="G11" s="75"/>
    </row>
    <row r="12" spans="1:7" ht="32" customHeight="1" x14ac:dyDescent="0.2">
      <c r="B12" s="53" t="s">
        <v>339</v>
      </c>
      <c r="C12" s="54">
        <f>COUNTIF('04 · Matriz'!$C$6:$AA$30,4)</f>
        <v>0</v>
      </c>
      <c r="D12" s="58" t="s">
        <v>340</v>
      </c>
      <c r="E12" s="85" t="s">
        <v>341</v>
      </c>
      <c r="F12" s="75"/>
      <c r="G12" s="75"/>
    </row>
    <row r="13" spans="1:7" ht="32" customHeight="1" x14ac:dyDescent="0.2">
      <c r="B13" s="53" t="s">
        <v>342</v>
      </c>
      <c r="C13" s="54">
        <f>IF(Var_N&lt;2,"—",SUMPRODUCT((Res_Motricidad=0)*(ROW(Res_Motricidad)-ROW(INDEX(Res_Motricidad,1))+1&lt;=Var_N)))</f>
        <v>0</v>
      </c>
      <c r="D13" s="58" t="s">
        <v>343</v>
      </c>
      <c r="E13" s="85" t="s">
        <v>344</v>
      </c>
      <c r="F13" s="75"/>
      <c r="G13" s="75"/>
    </row>
    <row r="14" spans="1:7" ht="32" customHeight="1" x14ac:dyDescent="0.2">
      <c r="B14" s="53" t="s">
        <v>345</v>
      </c>
      <c r="C14" s="54">
        <f>IF(Var_N&lt;2,"—",SUMPRODUCT((Res_Dependencia=0)*(ROW(Res_Dependencia)-ROW(INDEX(Res_Dependencia,1))+1&lt;=Var_N)))</f>
        <v>0</v>
      </c>
      <c r="D14" s="58" t="s">
        <v>343</v>
      </c>
      <c r="E14" s="85" t="s">
        <v>346</v>
      </c>
      <c r="F14" s="75"/>
      <c r="G14" s="75"/>
    </row>
    <row r="15" spans="1:7" ht="32" customHeight="1" x14ac:dyDescent="0.2">
      <c r="B15" s="53" t="s">
        <v>347</v>
      </c>
      <c r="C15" s="54" t="str">
        <f>IF(COUNTA('03 · Criterio'!$D$9:$D$23)=8,"Sí","No")</f>
        <v>Sí</v>
      </c>
      <c r="D15" s="58" t="s">
        <v>331</v>
      </c>
      <c r="E15" s="85" t="s">
        <v>348</v>
      </c>
      <c r="F15" s="75"/>
      <c r="G15" s="75"/>
    </row>
    <row r="16" spans="1:7" ht="32" customHeight="1" x14ac:dyDescent="0.2">
      <c r="B16" s="53" t="s">
        <v>349</v>
      </c>
      <c r="C16" s="54" t="str">
        <f>COUNTA('02 · Variables'!$E$7:$E$31)&amp;" de "&amp;Var_N</f>
        <v>25 de 25</v>
      </c>
      <c r="D16" s="58" t="s">
        <v>350</v>
      </c>
      <c r="E16" s="85" t="s">
        <v>351</v>
      </c>
      <c r="F16" s="75"/>
      <c r="G16" s="75"/>
    </row>
    <row r="18" spans="2:7" ht="22" customHeight="1" x14ac:dyDescent="0.2">
      <c r="B18" s="77" t="s">
        <v>352</v>
      </c>
      <c r="C18" s="75"/>
      <c r="D18" s="75"/>
      <c r="E18" s="75"/>
      <c r="F18" s="75"/>
      <c r="G18" s="75"/>
    </row>
    <row r="19" spans="2:7" ht="20" customHeight="1" x14ac:dyDescent="0.2">
      <c r="B19" s="51" t="s">
        <v>353</v>
      </c>
      <c r="C19" s="52" t="s">
        <v>141</v>
      </c>
      <c r="D19" s="51" t="s">
        <v>354</v>
      </c>
      <c r="E19" s="51" t="s">
        <v>141</v>
      </c>
      <c r="F19" s="51" t="s">
        <v>141</v>
      </c>
      <c r="G19" s="51" t="s">
        <v>141</v>
      </c>
    </row>
    <row r="20" spans="2:7" ht="30" customHeight="1" x14ac:dyDescent="0.2">
      <c r="B20" s="53" t="s">
        <v>355</v>
      </c>
      <c r="C20" s="54" t="str">
        <f>IF(Var_N&lt;2,"—",IF((SUMPRODUCT((ROW('04 · Matriz'!$C$6:$AA$30)-5&lt;=Var_N)*(COLUMN('04 · Matriz'!$C$6:$AA$30)-2&lt;=Var_N)*('04 · Matriz'!$C$6:$AA$30&lt;&gt;""))-Var_N&gt;=Ind_Preguntas),"","Sí"))</f>
        <v>Sí</v>
      </c>
      <c r="D20" s="85" t="s">
        <v>356</v>
      </c>
      <c r="E20" s="75"/>
      <c r="F20" s="75"/>
      <c r="G20" s="75"/>
    </row>
    <row r="21" spans="2:7" ht="30" customHeight="1" x14ac:dyDescent="0.2">
      <c r="B21" s="53" t="s">
        <v>357</v>
      </c>
      <c r="C21" s="54" t="str">
        <f>IF(Var_N&lt;2,"—",IF(OR(Ind_Densidad&lt;0.2,Ind_Densidad&gt;0.25),"Sí",""))</f>
        <v>Sí</v>
      </c>
      <c r="D21" s="85" t="s">
        <v>358</v>
      </c>
      <c r="E21" s="75"/>
      <c r="F21" s="75"/>
      <c r="G21" s="75"/>
    </row>
    <row r="22" spans="2:7" ht="30" customHeight="1" x14ac:dyDescent="0.2">
      <c r="B22" s="53" t="s">
        <v>359</v>
      </c>
      <c r="C22" s="54" t="str">
        <f>IF(Ind_NoNulas=0,"—",IF(COUNTIF('04 · Matriz'!$C$6:$AA$30,3)/Ind_NoNulas&gt;0.6,"Sí",""))</f>
        <v>—</v>
      </c>
      <c r="D22" s="85" t="s">
        <v>360</v>
      </c>
      <c r="E22" s="75"/>
      <c r="F22" s="75"/>
      <c r="G22" s="75"/>
    </row>
    <row r="23" spans="2:7" ht="30" customHeight="1" x14ac:dyDescent="0.2">
      <c r="B23" s="53" t="s">
        <v>361</v>
      </c>
      <c r="C23" s="54" t="str">
        <f>IF(Var_N&lt;2,"—",IF($C$13+$C$14&gt;0,"Sí",""))</f>
        <v/>
      </c>
      <c r="D23" s="85" t="s">
        <v>362</v>
      </c>
      <c r="E23" s="75"/>
      <c r="F23" s="75"/>
      <c r="G23" s="75"/>
    </row>
    <row r="24" spans="2:7" ht="30" customHeight="1" x14ac:dyDescent="0.2">
      <c r="B24" s="53" t="s">
        <v>363</v>
      </c>
      <c r="C24" s="54" t="str">
        <f>IF(COUNTA('03 · Criterio'!$D$9:$D$23)=8,"","Sí")</f>
        <v/>
      </c>
      <c r="D24" s="85" t="s">
        <v>364</v>
      </c>
      <c r="E24" s="75"/>
      <c r="F24" s="75"/>
      <c r="G24" s="75"/>
    </row>
    <row r="25" spans="2:7" ht="30" customHeight="1" x14ac:dyDescent="0.2">
      <c r="B25" s="53" t="s">
        <v>365</v>
      </c>
      <c r="C25" s="54" t="str">
        <f>IF(Var_N&lt;2,"—",IF(COUNTA('02 · Variables'!$E$7:$E$31)&lt;Var_N,"Sí",""))</f>
        <v/>
      </c>
      <c r="D25" s="85" t="s">
        <v>366</v>
      </c>
      <c r="E25" s="75"/>
      <c r="F25" s="75"/>
      <c r="G25" s="75"/>
    </row>
    <row r="27" spans="2:7" ht="24" customHeight="1" x14ac:dyDescent="0.2">
      <c r="B27" s="97" t="str">
        <f>IF(Var_N&lt;2,"● Aún no hay datos que revisar",IF(COUNTIF($C$20:$C$25,"Sí")=0,"● Nada requiere atención. Su estudio puede interpretarse.","● "&amp;COUNTIF($C$20:$C$25,"Sí")&amp;" puntos merecen una segunda mirada"))</f>
        <v>● 2 puntos merecen una segunda mirada</v>
      </c>
      <c r="C27" s="98"/>
      <c r="D27" s="98"/>
      <c r="E27" s="98"/>
      <c r="F27" s="98"/>
      <c r="G27" s="98"/>
    </row>
    <row r="29" spans="2:7" ht="20" customHeight="1" x14ac:dyDescent="0.2">
      <c r="B29" s="77" t="s">
        <v>367</v>
      </c>
      <c r="C29" s="96"/>
      <c r="D29" s="96"/>
      <c r="E29" s="96"/>
      <c r="F29" s="96"/>
      <c r="G29" s="96"/>
    </row>
    <row r="30" spans="2:7" ht="32" customHeight="1" x14ac:dyDescent="0.2">
      <c r="B30" s="87" t="str">
        <f>IF(Var_N&lt;2,"Sin datos suficientes para diagnosticar.",IF((COUNTA('01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Matriz'!$C$6:$AA$30&lt;&gt;""))-Var_N&gt;=Ind_Preguntas)))*1+(SUM(Res_Motricidad)=0)*1&gt;0,IF((COUNTA('01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Matriz'!$C$6:$AA$30&lt;&gt;""))-Var_N&gt;=Ind_Preguntas)))*1+(SUM(Res_Motricidad)=0)*1=1,"NO. Falta 1 requisito por cumplir.","NO. Faltan "&amp;(COUNTA('01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Matriz'!$C$6:$AA$30&lt;&gt;""))-Var_N&gt;=Ind_Preguntas)))*1+(SUM(Res_Motricidad)=0)*1&amp;" requisitos por cumplir."),IF((OR(Ind_Densidad&lt;0.2,Ind_Densidad&gt;0.25))*1+(IF(Ind_NoNulas=0,0,COUNTIF('04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Criterio'!$D$19="4")),0,1)&gt;0))*1&gt;0,IF((OR(Ind_Densidad&lt;0.2,Ind_Densidad&gt;0.25))*1+(IF(Ind_NoNulas=0,0,COUNTIF('04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Criterio'!$D$19="4")),0,1)&gt;0))*1=1,"SÍ, con salvedades. Hay 1 situación que explicar en el informe.","SÍ, con salvedades. Hay "&amp;(OR(Ind_Densidad&lt;0.2,Ind_Densidad&gt;0.25))*1+(IF(Ind_NoNulas=0,0,COUNTIF('04 · Matriz'!$C$6:$AA$30,3)/Ind_NoNulas)&gt;0.6)*1+(IF(Var_N&lt;2,0,SUMPRODUCT((Res_Motricidad=0)*(ROW(Res_Motricidad)-ROW(INDEX(Res_Motricidad,1))+1&lt;=Var_N))+SUMPRODUCT((Res_Dependencia=0)*(ROW(Res_Dependencia)-ROW(INDEX(Res_Dependencia,1))+1&lt;=Var_N)))&gt;0)*1+(SUMPRODUCT(('02 · Variables'!$C$7:$C$31&lt;&gt;"")*(COUNTIF('02 · Variables'!$C$7:$C$31,LEFT('02 · Variables'!$C$7:$C$31,12)&amp;"*")&gt;1))-SUMPRODUCT(('02 · Variables'!$C$7:$C$31&lt;&gt;"")*(COUNTIF('02 · Variables'!$C$7:$C$31,'02 · Variables'!$C$7:$C$31&amp;"")&gt;1))&gt;0)*1+(COUNTIF(Res_Tipologia,"5 · Pelotón (no concluyente)")&gt;Var_N*0.4)*1+(OR((IF(OR('03 · Criterio'!$D$13="",OR('03 · Criterio'!$D$13=0,'03 · Criterio'!$D$13="0")),0,1)+IF(OR('03 · Criterio'!$D$15="",OR('03 · Criterio'!$D$15=0,'03 · Criterio'!$D$15="0")),0,1))&gt;0,IF(OR('03 · Criterio'!$D$19="",OR('03 · Criterio'!$D$19=4,'03 · Criterio'!$D$19="4")),0,1)&gt;0))*1&amp;" situaciones que explicar en el informe."),"SÍ. El estudio cumple todos los requisitos y no presenta situaciones atípicas.")))</f>
        <v>NO. Faltan 2 requisitos por cumplir.</v>
      </c>
      <c r="C30" s="87"/>
      <c r="D30" s="87"/>
      <c r="E30" s="87"/>
      <c r="F30" s="87"/>
      <c r="G30" s="87"/>
    </row>
    <row r="31" spans="2:7" x14ac:dyDescent="0.2">
      <c r="B31" s="75"/>
      <c r="C31" s="75"/>
      <c r="D31" s="75"/>
      <c r="E31" s="75"/>
      <c r="F31" s="75"/>
      <c r="G31" s="75"/>
    </row>
    <row r="32" spans="2:7" ht="20" customHeight="1" x14ac:dyDescent="0.2">
      <c r="B32" s="51" t="s">
        <v>368</v>
      </c>
      <c r="C32" s="52" t="s">
        <v>141</v>
      </c>
      <c r="D32" s="51" t="s">
        <v>369</v>
      </c>
      <c r="E32" s="51" t="s">
        <v>141</v>
      </c>
      <c r="F32" s="51" t="s">
        <v>141</v>
      </c>
      <c r="G32" s="51" t="s">
        <v>141</v>
      </c>
    </row>
    <row r="33" spans="2:7" ht="24" customHeight="1" x14ac:dyDescent="0.2">
      <c r="B33" s="84" t="s">
        <v>370</v>
      </c>
      <c r="C33" s="95" t="str">
        <f>IF(COUNTA('01 · Encuadre'!$B$10,'01 · Encuadre'!$B$14,'01 · Encuadre'!$B$18,'01 · Encuadre'!$B$22)=4,"✓","⚠")</f>
        <v>✓</v>
      </c>
      <c r="D33" s="85" t="str">
        <f>IF(COUNTA('01 · Encuadre'!$B$10,'01 · Encuadre'!$B$14,'01 · Encuadre'!$B$18,'01 · Encuadre'!$B$22)=4,"","El informe no podrá identificar el estudio.")</f>
        <v/>
      </c>
    </row>
    <row r="34" spans="2:7" ht="24" customHeight="1" x14ac:dyDescent="0.2">
      <c r="B34" s="53" t="s">
        <v>371</v>
      </c>
      <c r="C34" s="57" t="str">
        <f>IF(AND(COUNTA('02 · Variables'!$C$7:$C$31)&gt;=8,COUNTA('02 · Variables'!$C$7:$C$31)&lt;=25),"✓","⚠")</f>
        <v>✓</v>
      </c>
      <c r="D34" s="85" t="str">
        <f>IF(AND(COUNTA('02 · Variables'!$C$7:$C$31)&gt;=8,COUNTA('02 · Variables'!$C$7:$C$31)&lt;=25),"","Fuera de ese rango el análisis no discrimina o no cabe en esta edición.")</f>
        <v/>
      </c>
      <c r="E34" s="75"/>
      <c r="F34" s="75"/>
      <c r="G34" s="75"/>
    </row>
    <row r="35" spans="2:7" ht="24" customHeight="1" x14ac:dyDescent="0.2">
      <c r="B35" s="53" t="s">
        <v>372</v>
      </c>
      <c r="C35" s="57" t="str">
        <f>IF(COUNTA('02 · Variables'!$E$7:$E$31)&gt;=COUNTA('02 · Variables'!$C$7:$C$31),"✓","⚠")</f>
        <v>✓</v>
      </c>
      <c r="D35" s="85" t="str">
        <f>IF(COUNTA('02 · Variables'!$E$7:$E$31)&gt;=COUNTA('02 · Variables'!$C$7:$C$31),"","Sin definición, el estudio no es reproducible por un tercero.")</f>
        <v/>
      </c>
      <c r="E35" s="75"/>
      <c r="F35" s="75"/>
      <c r="G35" s="75"/>
    </row>
    <row r="36" spans="2:7" ht="24" customHeight="1" x14ac:dyDescent="0.2">
      <c r="B36" s="53" t="s">
        <v>373</v>
      </c>
      <c r="C36" s="57" t="str">
        <f>IF(SUMPRODUCT(('02 · Variables'!$C$7:$C$31&lt;&gt;"")*(COUNTIF('02 · Variables'!$C$7:$C$31,'02 · Variables'!$C$7:$C$31&amp;"")&gt;1))=0,"✓","⚠")</f>
        <v>✓</v>
      </c>
      <c r="D36" s="85" t="str">
        <f>IF(SUMPRODUCT(('02 · Variables'!$C$7:$C$31&lt;&gt;"")*(COUNTIF('02 · Variables'!$C$7:$C$31,'02 · Variables'!$C$7:$C$31&amp;"")&gt;1))=0,"","Dos factores con el mismo nombre falsean el recuento.")</f>
        <v/>
      </c>
      <c r="E36" s="75"/>
      <c r="F36" s="75"/>
      <c r="G36" s="75"/>
    </row>
    <row r="37" spans="2:7" ht="24" customHeight="1" x14ac:dyDescent="0.2">
      <c r="B37" s="53" t="s">
        <v>374</v>
      </c>
      <c r="C37" s="57" t="str">
        <f>IF(COUNTA('03 · Criterio'!$D$9:$D$23)=8,"✓","⚠")</f>
        <v>✓</v>
      </c>
      <c r="D37" s="85" t="str">
        <f>IF(COUNTA('03 · Criterio'!$D$9:$D$23)=8,"","Sin criterio común los juicios no son agregables.")</f>
        <v/>
      </c>
      <c r="E37" s="75"/>
      <c r="F37" s="75"/>
      <c r="G37" s="75"/>
    </row>
    <row r="38" spans="2:7" ht="24" customHeight="1" x14ac:dyDescent="0.2">
      <c r="B38" s="53" t="s">
        <v>375</v>
      </c>
      <c r="C38" s="57" t="str">
        <f>IF(COUNTA('03 · Criterio'!$C$29,'03 · Criterio'!$C$31,'03 · Criterio'!$C$33,'03 · Criterio'!$C$35)=4,"✓","⚠")</f>
        <v>✓</v>
      </c>
      <c r="D38" s="85" t="str">
        <f>IF(COUNTA('03 · Criterio'!$C$29,'03 · Criterio'!$C$31,'03 · Criterio'!$C$33,'03 · Criterio'!$C$35)=4,"","Es lo que permite auditar cómo valoró el panel.")</f>
        <v/>
      </c>
      <c r="E38" s="75"/>
      <c r="F38" s="75"/>
      <c r="G38" s="75"/>
    </row>
    <row r="39" spans="2:7" ht="24" customHeight="1" x14ac:dyDescent="0.2">
      <c r="B39" s="53" t="s">
        <v>376</v>
      </c>
      <c r="C39" s="57" t="str">
        <f>IF((SUMPRODUCT((ROW('04 · Matriz'!$C$6:$AA$30)-5&lt;=Var_N)*(COLUMN('04 · Matriz'!$C$6:$AA$30)-2&lt;=Var_N)*('04 · Matriz'!$C$6:$AA$30&lt;&gt;""))-Var_N&gt;=Ind_Preguntas),"✓","⚠")</f>
        <v>⚠</v>
      </c>
      <c r="D39" s="85" t="str">
        <f>IF((SUMPRODUCT((ROW('04 · Matriz'!$C$6:$AA$30)-5&lt;=Var_N)*(COLUMN('04 · Matriz'!$C$6:$AA$30)-2&lt;=Var_N)*('04 · Matriz'!$C$6:$AA$30&lt;&gt;""))-Var_N&gt;=Ind_Preguntas),"","Con la matriz incompleta las cifras cambiarán.")</f>
        <v>Con la matriz incompleta las cifras cambiarán.</v>
      </c>
      <c r="E39" s="75"/>
      <c r="F39" s="75"/>
      <c r="G39" s="75"/>
    </row>
    <row r="40" spans="2:7" ht="24" customHeight="1" x14ac:dyDescent="0.2">
      <c r="B40" s="53" t="s">
        <v>377</v>
      </c>
      <c r="C40" s="57" t="str">
        <f>IF(SUM(Res_Motricidad)&gt;0,"✓","⚠")</f>
        <v>⚠</v>
      </c>
      <c r="D40" s="85" t="str">
        <f>IF(SUM(Res_Motricidad)&gt;0,"","Sin ninguna influencia directa no hay estructura que analizar.")</f>
        <v>Sin ninguna influencia directa no hay estructura que analizar.</v>
      </c>
      <c r="E40" s="75"/>
      <c r="F40" s="75"/>
      <c r="G40" s="75"/>
    </row>
    <row r="41" spans="2:7" ht="10" customHeight="1" x14ac:dyDescent="0.2">
      <c r="B41" s="56"/>
      <c r="C41" s="56"/>
      <c r="D41" s="56"/>
      <c r="E41" s="56"/>
      <c r="F41" s="56"/>
      <c r="G41" s="56"/>
    </row>
    <row r="42" spans="2:7" ht="18" customHeight="1" x14ac:dyDescent="0.2">
      <c r="B42" s="77" t="s">
        <v>152</v>
      </c>
      <c r="C42" s="75"/>
      <c r="D42" s="77" t="s">
        <v>153</v>
      </c>
      <c r="E42" s="75"/>
      <c r="F42" s="77" t="s">
        <v>154</v>
      </c>
      <c r="G42" s="75"/>
    </row>
    <row r="43" spans="2:7" ht="40" customHeight="1" x14ac:dyDescent="0.2">
      <c r="B43" s="94" t="str">
        <f>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Matriz'!$C$6:$AA$30&lt;&gt;""))-Var_N&gt;=Ind_Preguntas)))*1+(SUM(Res_Motricidad)=0)*1&gt;0,IF((COUNTA('01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Matriz'!$C$6:$AA$30&lt;&gt;""))-Var_N&gt;=Ind_Preguntas)))*1+(SUM(Res_Motricidad)=0)*1=1,"Ha revisado el estudio: falta 1 requisito.","Ha revisado el estudio: faltan "&amp;(COUNTA('01 · Encuadre'!$B$10,'01 · Encuadre'!$B$14,'01 · Encuadre'!$B$18,'01 · Encuadre'!$B$22)&lt;4)*1+(COUNTA('02 · Variables'!$C$7:$C$31)&lt;8)*1+(COUNTA('02 · Variables'!$E$7:$E$31)&lt;COUNTA('02 · Variables'!$C$7:$C$31))*1+(SUMPRODUCT(('02 · Variables'!$C$7:$C$31&lt;&gt;"")*(COUNTIF('02 · Variables'!$C$7:$C$31,'02 · Variables'!$C$7:$C$31&amp;"")&gt;1))&gt;0)*1+(COUNTA('03 · Criterio'!$D$9:$D$23)&lt;8)*1+(COUNTA('03 · Criterio'!$C$29,'03 · Criterio'!$C$31,'03 · Criterio'!$C$33,'03 · Criterio'!$C$35)&lt;4)*1+(NOT((SUMPRODUCT((ROW('04 · Matriz'!$C$6:$AA$30)-5&lt;=Var_N)*(COLUMN('04 · Matriz'!$C$6:$AA$30)-2&lt;=Var_N)*('04 · Matriz'!$C$6:$AA$30&lt;&gt;""))-Var_N&gt;=Ind_Preguntas)))*1+(SUM(Res_Motricidad)=0)*1&amp;" requisitos."),"Ha revisado el estudio y cumple los requisitos.")</f>
        <v>Ha revisado el estudio: faltan 2 requisitos.</v>
      </c>
      <c r="C43" s="75"/>
      <c r="D43" s="94" t="str">
        <f>"Emitir el informe, que es el entregable del estudio."</f>
        <v>Emitir el informe, que es el entregable del estudio.</v>
      </c>
      <c r="E43" s="75"/>
      <c r="F43" s="94" t="str">
        <f>"Un paso. Diez minutos."</f>
        <v>Un paso. Diez minutos.</v>
      </c>
      <c r="G43" s="75"/>
    </row>
    <row r="45" spans="2:7" ht="32" customHeight="1" x14ac:dyDescent="0.2">
      <c r="B45" s="82" t="s">
        <v>378</v>
      </c>
      <c r="C45" s="82"/>
      <c r="D45" s="82"/>
    </row>
  </sheetData>
  <sheetProtection password="CD7E" sheet="1" formatCells="0" formatColumns="0" formatRows="0" insertRows="0"/>
  <mergeCells count="43">
    <mergeCell ref="B45:D45"/>
    <mergeCell ref="B43:C43"/>
    <mergeCell ref="D42:E42"/>
    <mergeCell ref="D43:E43"/>
    <mergeCell ref="F42:G42"/>
    <mergeCell ref="F43:G43"/>
    <mergeCell ref="D37:G37"/>
    <mergeCell ref="D38:G38"/>
    <mergeCell ref="D39:G39"/>
    <mergeCell ref="D40:G40"/>
    <mergeCell ref="B42:C42"/>
    <mergeCell ref="B33:D33"/>
    <mergeCell ref="B29:G29"/>
    <mergeCell ref="D34:G34"/>
    <mergeCell ref="D35:G35"/>
    <mergeCell ref="D36:G36"/>
    <mergeCell ref="B27:G27"/>
    <mergeCell ref="B30:C30"/>
    <mergeCell ref="B31:C31"/>
    <mergeCell ref="D30:E30"/>
    <mergeCell ref="D31:E31"/>
    <mergeCell ref="F30:G30"/>
    <mergeCell ref="F31:G31"/>
    <mergeCell ref="D21:G21"/>
    <mergeCell ref="D22:G22"/>
    <mergeCell ref="D23:G23"/>
    <mergeCell ref="D24:G24"/>
    <mergeCell ref="D25:G25"/>
    <mergeCell ref="E14:G14"/>
    <mergeCell ref="E15:G15"/>
    <mergeCell ref="E16:G16"/>
    <mergeCell ref="B18:G18"/>
    <mergeCell ref="D20:G20"/>
    <mergeCell ref="E9:G9"/>
    <mergeCell ref="E10:G10"/>
    <mergeCell ref="E11:G11"/>
    <mergeCell ref="E12:G12"/>
    <mergeCell ref="E13:G13"/>
    <mergeCell ref="B1:C1"/>
    <mergeCell ref="B3:F3"/>
    <mergeCell ref="B4:G4"/>
    <mergeCell ref="B5:G5"/>
    <mergeCell ref="B7:G7"/>
  </mergeCells>
  <hyperlinks>
    <hyperlink ref="B2" location="'01 · Encuadre'!A1" display="Encuadre" xr:uid="{00000000-0004-0000-0800-000000000000}"/>
    <hyperlink ref="C2" location="'02 · Variables'!A1" display="Variables" xr:uid="{00000000-0004-0000-0800-000001000000}"/>
    <hyperlink ref="D2" location="'03 · Criterio'!A1" display="Criterio" xr:uid="{00000000-0004-0000-0800-000002000000}"/>
    <hyperlink ref="E2" location="'04 · Matriz'!A1" display="Matriz" xr:uid="{00000000-0004-0000-0800-000003000000}"/>
    <hyperlink ref="F2" location="'05 · Resultado'!A1" display="Resultado" xr:uid="{00000000-0004-0000-0800-000004000000}"/>
    <hyperlink ref="G2" location="'Comprobación'!A1" display="Revisión" xr:uid="{00000000-0004-0000-0800-000005000000}"/>
    <hyperlink ref="G2" location="'06 · Informe'!A1" display="Informe" xr:uid="{00000000-0004-0000-0800-000006000000}"/>
    <hyperlink ref="G2" location="Inicio!A1" display="Inicio" xr:uid="{00000000-0004-0000-0800-000007000000}"/>
    <hyperlink ref="B33" location="'06 · Informe'!A1" display="CONTINUAR AL PASO 7   ▶" xr:uid="{00000000-0004-0000-0800-000008000000}"/>
    <hyperlink ref="B45" location="'06 · Informe'!A1" display="CONTINUAR AL PASO 7   ▶" xr:uid="{00000000-0004-0000-0800-000009000000}"/>
  </hyperlinks>
  <pageMargins left="0.4" right="0.4" top="0.5" bottom="0.5" header="0.3" footer="0.3"/>
  <pageSetup paperSize="9" fitToHeight="0" orientation="portrait"/>
  <headerFooter>
    <oddFooter>&amp;L&amp;"Aptos,Regular"&amp;8&amp;K94A0AEIntelKIT · MICMAC Essentials v1.0&amp;R&amp;"Aptos,Regular"&amp;8&amp;K94A0AEPágina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F82C0"/>
    <pageSetUpPr fitToPage="1"/>
  </sheetPr>
  <dimension ref="A1:J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s>
  <sheetData>
    <row r="1" spans="1:10" ht="24" customHeight="1" x14ac:dyDescent="0.2">
      <c r="A1" s="18"/>
      <c r="B1" s="17" t="s">
        <v>135</v>
      </c>
      <c r="C1" s="18" t="s">
        <v>379</v>
      </c>
      <c r="D1" s="18"/>
      <c r="E1" s="18"/>
      <c r="F1" s="18"/>
      <c r="G1" s="18"/>
      <c r="H1" s="18"/>
      <c r="I1" s="19" t="s">
        <v>380</v>
      </c>
    </row>
    <row r="2" spans="1:10" ht="26" customHeight="1" x14ac:dyDescent="0.2">
      <c r="B2" s="20" t="s">
        <v>1</v>
      </c>
    </row>
    <row r="3" spans="1:10" ht="22" customHeight="1" x14ac:dyDescent="0.2">
      <c r="B3" s="21" t="s">
        <v>2</v>
      </c>
    </row>
    <row r="5" spans="1:10" x14ac:dyDescent="0.2">
      <c r="A5" s="5" t="s">
        <v>0</v>
      </c>
      <c r="B5" s="5" t="s">
        <v>3</v>
      </c>
      <c r="C5" s="5" t="s">
        <v>4</v>
      </c>
      <c r="D5" s="5" t="s">
        <v>5</v>
      </c>
      <c r="E5" s="5" t="s">
        <v>6</v>
      </c>
      <c r="F5" s="5" t="s">
        <v>7</v>
      </c>
      <c r="G5" s="5" t="s">
        <v>8</v>
      </c>
      <c r="H5" s="5" t="s">
        <v>9</v>
      </c>
      <c r="I5" s="5" t="s">
        <v>10</v>
      </c>
      <c r="J5" s="5" t="s">
        <v>11</v>
      </c>
    </row>
    <row r="6" spans="1:10" x14ac:dyDescent="0.2">
      <c r="A6" s="6" t="str">
        <f>IF(_motor!$B$586=0,"",'02 · Variables'!$B$7)</f>
        <v/>
      </c>
      <c r="B6" s="2" t="str">
        <f>IF(_motor!$B$586=0,"",'02 · Variables'!$C$7)</f>
        <v/>
      </c>
      <c r="C6" s="9" t="str">
        <f>IF(_motor!$B$586=0,"",_motor!$C$586)</f>
        <v/>
      </c>
      <c r="D6" s="9" t="str">
        <f>IF(_motor!$B$586=0,"",_motor!$D$586)</f>
        <v/>
      </c>
      <c r="E6" s="8" t="str">
        <f>IF(OR(_motor!$B$586=0,_motor!$B$672=0),"",_motor!$C$586/_motor!$B$672)</f>
        <v/>
      </c>
      <c r="F6" s="8" t="str">
        <f>IF(OR(_motor!$B$586=0,_motor!$B$672=0),"",_motor!$D$586/_motor!$B$672)</f>
        <v/>
      </c>
      <c r="G6" s="7" t="str">
        <f>IF(_motor!$B$586=0,"",SUMPRODUCT(_motor!$B$586:$B$665*(_motor!$C$586:$C$665&gt;_motor!$C$586))+(SUMPRODUCT(_motor!$B$586:$B$665*(_motor!$C$586:$C$665=_motor!$C$586))+1)/2)</f>
        <v/>
      </c>
      <c r="H6" s="7" t="str">
        <f>IF(_motor!$B$586=0,"",SUMPRODUCT(_motor!$B$586:$B$665*(_motor!$D$586:$D$665&gt;_motor!$D$586))+(SUMPRODUCT(_motor!$B$586:$B$665*(_motor!$D$586:$D$665=_motor!$D$586))+1)/2)</f>
        <v/>
      </c>
      <c r="I6" s="2" t="str">
        <f>IF(_motor!$B$586=0,"",IF(AND(ABS(_motor!$C$586-_motor!$B$668)&lt;=_motor!$B$676+0.000000001,ABS(_motor!$D$586-_motor!$B$668)&lt;=_motor!$B$676+0.000000001),"5 · Pelotón (no concluyente)",IF(AND(_motor!$C$586&gt;=_motor!$B$668,_motor!$D$586&lt;_motor!$B$668),"1 · Entrada / determinante",IF(AND(_motor!$C$586&gt;=_motor!$B$668,_motor!$D$586&gt;=_motor!$B$668),"2 · Intermedia / de enlace",IF(AND(_motor!$C$586&lt;_motor!$B$668,_motor!$D$586&gt;=_motor!$B$668),"3 · Resultado","4 · Excluida / autónoma")))))</f>
        <v/>
      </c>
      <c r="J6" s="2" t="str">
        <f>IF(_motor!$B$586=0,"",IF(AND(ABS(_motor!$C$586-_motor!$B$668)&lt;=_motor!$B$676+0.000000001,ABS(_motor!$D$586-_motor!$B$668)&lt;=_motor!$B$676+0.000000001),"Reguladora",IF(AND(_motor!$C$586&gt;=_motor!$B$668,_motor!$D$586&lt;0.5*_motor!$B$668),"Determinante / entorno",IF(AND(_motor!$C$586&gt;=_motor!$B$668,_motor!$D$586&lt;_motor!$B$668),"Palanca secundaria",IF(AND(_motor!$C$586&gt;=_motor!$B$668,_motor!$D$586&gt;=_motor!$B$668),"Clave / de enlace",IF(AND(_motor!$D$586&gt;=_motor!$B$668,_motor!$C$586&gt;=0.5*_motor!$B$668),"Objetivo",IF(_motor!$D$586&gt;=_motor!$B$668,"Resultado","Autónoma")))))))</f>
        <v/>
      </c>
    </row>
    <row r="7" spans="1:10" x14ac:dyDescent="0.2">
      <c r="A7" s="6" t="str">
        <f>IF(_motor!$B$587=0,"",'02 · Variables'!$B$8)</f>
        <v/>
      </c>
      <c r="B7" s="2" t="str">
        <f>IF(_motor!$B$587=0,"",'02 · Variables'!$C$8)</f>
        <v/>
      </c>
      <c r="C7" s="9" t="str">
        <f>IF(_motor!$B$587=0,"",_motor!$C$587)</f>
        <v/>
      </c>
      <c r="D7" s="9" t="str">
        <f>IF(_motor!$B$587=0,"",_motor!$D$587)</f>
        <v/>
      </c>
      <c r="E7" s="8" t="str">
        <f>IF(OR(_motor!$B$587=0,_motor!$B$672=0),"",_motor!$C$587/_motor!$B$672)</f>
        <v/>
      </c>
      <c r="F7" s="8" t="str">
        <f>IF(OR(_motor!$B$587=0,_motor!$B$672=0),"",_motor!$D$587/_motor!$B$672)</f>
        <v/>
      </c>
      <c r="G7" s="7" t="str">
        <f>IF(_motor!$B$587=0,"",SUMPRODUCT(_motor!$B$586:$B$665*(_motor!$C$586:$C$665&gt;_motor!$C$587))+(SUMPRODUCT(_motor!$B$586:$B$665*(_motor!$C$586:$C$665=_motor!$C$587))+1)/2)</f>
        <v/>
      </c>
      <c r="H7" s="7" t="str">
        <f>IF(_motor!$B$587=0,"",SUMPRODUCT(_motor!$B$586:$B$665*(_motor!$D$586:$D$665&gt;_motor!$D$587))+(SUMPRODUCT(_motor!$B$586:$B$665*(_motor!$D$586:$D$665=_motor!$D$587))+1)/2)</f>
        <v/>
      </c>
      <c r="I7" s="2" t="str">
        <f>IF(_motor!$B$587=0,"",IF(AND(ABS(_motor!$C$587-_motor!$B$668)&lt;=_motor!$B$676+0.000000001,ABS(_motor!$D$587-_motor!$B$668)&lt;=_motor!$B$676+0.000000001),"5 · Pelotón (no concluyente)",IF(AND(_motor!$C$587&gt;=_motor!$B$668,_motor!$D$587&lt;_motor!$B$668),"1 · Entrada / determinante",IF(AND(_motor!$C$587&gt;=_motor!$B$668,_motor!$D$587&gt;=_motor!$B$668),"2 · Intermedia / de enlace",IF(AND(_motor!$C$587&lt;_motor!$B$668,_motor!$D$587&gt;=_motor!$B$668),"3 · Resultado","4 · Excluida / autónoma")))))</f>
        <v/>
      </c>
      <c r="J7" s="2" t="str">
        <f>IF(_motor!$B$587=0,"",IF(AND(ABS(_motor!$C$587-_motor!$B$668)&lt;=_motor!$B$676+0.000000001,ABS(_motor!$D$587-_motor!$B$668)&lt;=_motor!$B$676+0.000000001),"Reguladora",IF(AND(_motor!$C$587&gt;=_motor!$B$668,_motor!$D$587&lt;0.5*_motor!$B$668),"Determinante / entorno",IF(AND(_motor!$C$587&gt;=_motor!$B$668,_motor!$D$587&lt;_motor!$B$668),"Palanca secundaria",IF(AND(_motor!$C$587&gt;=_motor!$B$668,_motor!$D$587&gt;=_motor!$B$668),"Clave / de enlace",IF(AND(_motor!$D$587&gt;=_motor!$B$668,_motor!$C$587&gt;=0.5*_motor!$B$668),"Objetivo",IF(_motor!$D$587&gt;=_motor!$B$668,"Resultado","Autónoma")))))))</f>
        <v/>
      </c>
    </row>
    <row r="8" spans="1:10" x14ac:dyDescent="0.2">
      <c r="A8" s="6" t="str">
        <f>IF(_motor!$B$588=0,"",'02 · Variables'!$B$9)</f>
        <v/>
      </c>
      <c r="B8" s="2" t="str">
        <f>IF(_motor!$B$588=0,"",'02 · Variables'!$C$9)</f>
        <v/>
      </c>
      <c r="C8" s="9" t="str">
        <f>IF(_motor!$B$588=0,"",_motor!$C$588)</f>
        <v/>
      </c>
      <c r="D8" s="9" t="str">
        <f>IF(_motor!$B$588=0,"",_motor!$D$588)</f>
        <v/>
      </c>
      <c r="E8" s="8" t="str">
        <f>IF(OR(_motor!$B$588=0,_motor!$B$672=0),"",_motor!$C$588/_motor!$B$672)</f>
        <v/>
      </c>
      <c r="F8" s="8" t="str">
        <f>IF(OR(_motor!$B$588=0,_motor!$B$672=0),"",_motor!$D$588/_motor!$B$672)</f>
        <v/>
      </c>
      <c r="G8" s="7" t="str">
        <f>IF(_motor!$B$588=0,"",SUMPRODUCT(_motor!$B$586:$B$665*(_motor!$C$586:$C$665&gt;_motor!$C$588))+(SUMPRODUCT(_motor!$B$586:$B$665*(_motor!$C$586:$C$665=_motor!$C$588))+1)/2)</f>
        <v/>
      </c>
      <c r="H8" s="7" t="str">
        <f>IF(_motor!$B$588=0,"",SUMPRODUCT(_motor!$B$586:$B$665*(_motor!$D$586:$D$665&gt;_motor!$D$588))+(SUMPRODUCT(_motor!$B$586:$B$665*(_motor!$D$586:$D$665=_motor!$D$588))+1)/2)</f>
        <v/>
      </c>
      <c r="I8" s="2" t="str">
        <f>IF(_motor!$B$588=0,"",IF(AND(ABS(_motor!$C$588-_motor!$B$668)&lt;=_motor!$B$676+0.000000001,ABS(_motor!$D$588-_motor!$B$668)&lt;=_motor!$B$676+0.000000001),"5 · Pelotón (no concluyente)",IF(AND(_motor!$C$588&gt;=_motor!$B$668,_motor!$D$588&lt;_motor!$B$668),"1 · Entrada / determinante",IF(AND(_motor!$C$588&gt;=_motor!$B$668,_motor!$D$588&gt;=_motor!$B$668),"2 · Intermedia / de enlace",IF(AND(_motor!$C$588&lt;_motor!$B$668,_motor!$D$588&gt;=_motor!$B$668),"3 · Resultado","4 · Excluida / autónoma")))))</f>
        <v/>
      </c>
      <c r="J8" s="2" t="str">
        <f>IF(_motor!$B$588=0,"",IF(AND(ABS(_motor!$C$588-_motor!$B$668)&lt;=_motor!$B$676+0.000000001,ABS(_motor!$D$588-_motor!$B$668)&lt;=_motor!$B$676+0.000000001),"Reguladora",IF(AND(_motor!$C$588&gt;=_motor!$B$668,_motor!$D$588&lt;0.5*_motor!$B$668),"Determinante / entorno",IF(AND(_motor!$C$588&gt;=_motor!$B$668,_motor!$D$588&lt;_motor!$B$668),"Palanca secundaria",IF(AND(_motor!$C$588&gt;=_motor!$B$668,_motor!$D$588&gt;=_motor!$B$668),"Clave / de enlace",IF(AND(_motor!$D$588&gt;=_motor!$B$668,_motor!$C$588&gt;=0.5*_motor!$B$668),"Objetivo",IF(_motor!$D$588&gt;=_motor!$B$668,"Resultado","Autónoma")))))))</f>
        <v/>
      </c>
    </row>
    <row r="9" spans="1:10" x14ac:dyDescent="0.2">
      <c r="A9" s="6" t="str">
        <f>IF(_motor!$B$589=0,"",'02 · Variables'!$B$10)</f>
        <v/>
      </c>
      <c r="B9" s="2" t="str">
        <f>IF(_motor!$B$589=0,"",'02 · Variables'!$C$10)</f>
        <v/>
      </c>
      <c r="C9" s="9" t="str">
        <f>IF(_motor!$B$589=0,"",_motor!$C$589)</f>
        <v/>
      </c>
      <c r="D9" s="9" t="str">
        <f>IF(_motor!$B$589=0,"",_motor!$D$589)</f>
        <v/>
      </c>
      <c r="E9" s="8" t="str">
        <f>IF(OR(_motor!$B$589=0,_motor!$B$672=0),"",_motor!$C$589/_motor!$B$672)</f>
        <v/>
      </c>
      <c r="F9" s="8" t="str">
        <f>IF(OR(_motor!$B$589=0,_motor!$B$672=0),"",_motor!$D$589/_motor!$B$672)</f>
        <v/>
      </c>
      <c r="G9" s="7" t="str">
        <f>IF(_motor!$B$589=0,"",SUMPRODUCT(_motor!$B$586:$B$665*(_motor!$C$586:$C$665&gt;_motor!$C$589))+(SUMPRODUCT(_motor!$B$586:$B$665*(_motor!$C$586:$C$665=_motor!$C$589))+1)/2)</f>
        <v/>
      </c>
      <c r="H9" s="7" t="str">
        <f>IF(_motor!$B$589=0,"",SUMPRODUCT(_motor!$B$586:$B$665*(_motor!$D$586:$D$665&gt;_motor!$D$589))+(SUMPRODUCT(_motor!$B$586:$B$665*(_motor!$D$586:$D$665=_motor!$D$589))+1)/2)</f>
        <v/>
      </c>
      <c r="I9" s="2" t="str">
        <f>IF(_motor!$B$589=0,"",IF(AND(ABS(_motor!$C$589-_motor!$B$668)&lt;=_motor!$B$676+0.000000001,ABS(_motor!$D$589-_motor!$B$668)&lt;=_motor!$B$676+0.000000001),"5 · Pelotón (no concluyente)",IF(AND(_motor!$C$589&gt;=_motor!$B$668,_motor!$D$589&lt;_motor!$B$668),"1 · Entrada / determinante",IF(AND(_motor!$C$589&gt;=_motor!$B$668,_motor!$D$589&gt;=_motor!$B$668),"2 · Intermedia / de enlace",IF(AND(_motor!$C$589&lt;_motor!$B$668,_motor!$D$589&gt;=_motor!$B$668),"3 · Resultado","4 · Excluida / autónoma")))))</f>
        <v/>
      </c>
      <c r="J9" s="2" t="str">
        <f>IF(_motor!$B$589=0,"",IF(AND(ABS(_motor!$C$589-_motor!$B$668)&lt;=_motor!$B$676+0.000000001,ABS(_motor!$D$589-_motor!$B$668)&lt;=_motor!$B$676+0.000000001),"Reguladora",IF(AND(_motor!$C$589&gt;=_motor!$B$668,_motor!$D$589&lt;0.5*_motor!$B$668),"Determinante / entorno",IF(AND(_motor!$C$589&gt;=_motor!$B$668,_motor!$D$589&lt;_motor!$B$668),"Palanca secundaria",IF(AND(_motor!$C$589&gt;=_motor!$B$668,_motor!$D$589&gt;=_motor!$B$668),"Clave / de enlace",IF(AND(_motor!$D$589&gt;=_motor!$B$668,_motor!$C$589&gt;=0.5*_motor!$B$668),"Objetivo",IF(_motor!$D$589&gt;=_motor!$B$668,"Resultado","Autónoma")))))))</f>
        <v/>
      </c>
    </row>
    <row r="10" spans="1:10" x14ac:dyDescent="0.2">
      <c r="A10" s="6" t="str">
        <f>IF(_motor!$B$590=0,"",'02 · Variables'!$B$11)</f>
        <v/>
      </c>
      <c r="B10" s="2" t="str">
        <f>IF(_motor!$B$590=0,"",'02 · Variables'!$C$11)</f>
        <v/>
      </c>
      <c r="C10" s="9" t="str">
        <f>IF(_motor!$B$590=0,"",_motor!$C$590)</f>
        <v/>
      </c>
      <c r="D10" s="9" t="str">
        <f>IF(_motor!$B$590=0,"",_motor!$D$590)</f>
        <v/>
      </c>
      <c r="E10" s="8" t="str">
        <f>IF(OR(_motor!$B$590=0,_motor!$B$672=0),"",_motor!$C$590/_motor!$B$672)</f>
        <v/>
      </c>
      <c r="F10" s="8" t="str">
        <f>IF(OR(_motor!$B$590=0,_motor!$B$672=0),"",_motor!$D$590/_motor!$B$672)</f>
        <v/>
      </c>
      <c r="G10" s="7" t="str">
        <f>IF(_motor!$B$590=0,"",SUMPRODUCT(_motor!$B$586:$B$665*(_motor!$C$586:$C$665&gt;_motor!$C$590))+(SUMPRODUCT(_motor!$B$586:$B$665*(_motor!$C$586:$C$665=_motor!$C$590))+1)/2)</f>
        <v/>
      </c>
      <c r="H10" s="7" t="str">
        <f>IF(_motor!$B$590=0,"",SUMPRODUCT(_motor!$B$586:$B$665*(_motor!$D$586:$D$665&gt;_motor!$D$590))+(SUMPRODUCT(_motor!$B$586:$B$665*(_motor!$D$586:$D$665=_motor!$D$590))+1)/2)</f>
        <v/>
      </c>
      <c r="I10" s="2" t="str">
        <f>IF(_motor!$B$590=0,"",IF(AND(ABS(_motor!$C$590-_motor!$B$668)&lt;=_motor!$B$676+0.000000001,ABS(_motor!$D$590-_motor!$B$668)&lt;=_motor!$B$676+0.000000001),"5 · Pelotón (no concluyente)",IF(AND(_motor!$C$590&gt;=_motor!$B$668,_motor!$D$590&lt;_motor!$B$668),"1 · Entrada / determinante",IF(AND(_motor!$C$590&gt;=_motor!$B$668,_motor!$D$590&gt;=_motor!$B$668),"2 · Intermedia / de enlace",IF(AND(_motor!$C$590&lt;_motor!$B$668,_motor!$D$590&gt;=_motor!$B$668),"3 · Resultado","4 · Excluida / autónoma")))))</f>
        <v/>
      </c>
      <c r="J10" s="2" t="str">
        <f>IF(_motor!$B$590=0,"",IF(AND(ABS(_motor!$C$590-_motor!$B$668)&lt;=_motor!$B$676+0.000000001,ABS(_motor!$D$590-_motor!$B$668)&lt;=_motor!$B$676+0.000000001),"Reguladora",IF(AND(_motor!$C$590&gt;=_motor!$B$668,_motor!$D$590&lt;0.5*_motor!$B$668),"Determinante / entorno",IF(AND(_motor!$C$590&gt;=_motor!$B$668,_motor!$D$590&lt;_motor!$B$668),"Palanca secundaria",IF(AND(_motor!$C$590&gt;=_motor!$B$668,_motor!$D$590&gt;=_motor!$B$668),"Clave / de enlace",IF(AND(_motor!$D$590&gt;=_motor!$B$668,_motor!$C$590&gt;=0.5*_motor!$B$668),"Objetivo",IF(_motor!$D$590&gt;=_motor!$B$668,"Resultado","Autónoma")))))))</f>
        <v/>
      </c>
    </row>
    <row r="11" spans="1:10" x14ac:dyDescent="0.2">
      <c r="A11" s="6" t="str">
        <f>IF(_motor!$B$591=0,"",'02 · Variables'!$B$12)</f>
        <v/>
      </c>
      <c r="B11" s="2" t="str">
        <f>IF(_motor!$B$591=0,"",'02 · Variables'!$C$12)</f>
        <v/>
      </c>
      <c r="C11" s="9" t="str">
        <f>IF(_motor!$B$591=0,"",_motor!$C$591)</f>
        <v/>
      </c>
      <c r="D11" s="9" t="str">
        <f>IF(_motor!$B$591=0,"",_motor!$D$591)</f>
        <v/>
      </c>
      <c r="E11" s="8" t="str">
        <f>IF(OR(_motor!$B$591=0,_motor!$B$672=0),"",_motor!$C$591/_motor!$B$672)</f>
        <v/>
      </c>
      <c r="F11" s="8" t="str">
        <f>IF(OR(_motor!$B$591=0,_motor!$B$672=0),"",_motor!$D$591/_motor!$B$672)</f>
        <v/>
      </c>
      <c r="G11" s="7" t="str">
        <f>IF(_motor!$B$591=0,"",SUMPRODUCT(_motor!$B$586:$B$665*(_motor!$C$586:$C$665&gt;_motor!$C$591))+(SUMPRODUCT(_motor!$B$586:$B$665*(_motor!$C$586:$C$665=_motor!$C$591))+1)/2)</f>
        <v/>
      </c>
      <c r="H11" s="7" t="str">
        <f>IF(_motor!$B$591=0,"",SUMPRODUCT(_motor!$B$586:$B$665*(_motor!$D$586:$D$665&gt;_motor!$D$591))+(SUMPRODUCT(_motor!$B$586:$B$665*(_motor!$D$586:$D$665=_motor!$D$591))+1)/2)</f>
        <v/>
      </c>
      <c r="I11" s="2" t="str">
        <f>IF(_motor!$B$591=0,"",IF(AND(ABS(_motor!$C$591-_motor!$B$668)&lt;=_motor!$B$676+0.000000001,ABS(_motor!$D$591-_motor!$B$668)&lt;=_motor!$B$676+0.000000001),"5 · Pelotón (no concluyente)",IF(AND(_motor!$C$591&gt;=_motor!$B$668,_motor!$D$591&lt;_motor!$B$668),"1 · Entrada / determinante",IF(AND(_motor!$C$591&gt;=_motor!$B$668,_motor!$D$591&gt;=_motor!$B$668),"2 · Intermedia / de enlace",IF(AND(_motor!$C$591&lt;_motor!$B$668,_motor!$D$591&gt;=_motor!$B$668),"3 · Resultado","4 · Excluida / autónoma")))))</f>
        <v/>
      </c>
      <c r="J11" s="2" t="str">
        <f>IF(_motor!$B$591=0,"",IF(AND(ABS(_motor!$C$591-_motor!$B$668)&lt;=_motor!$B$676+0.000000001,ABS(_motor!$D$591-_motor!$B$668)&lt;=_motor!$B$676+0.000000001),"Reguladora",IF(AND(_motor!$C$591&gt;=_motor!$B$668,_motor!$D$591&lt;0.5*_motor!$B$668),"Determinante / entorno",IF(AND(_motor!$C$591&gt;=_motor!$B$668,_motor!$D$591&lt;_motor!$B$668),"Palanca secundaria",IF(AND(_motor!$C$591&gt;=_motor!$B$668,_motor!$D$591&gt;=_motor!$B$668),"Clave / de enlace",IF(AND(_motor!$D$591&gt;=_motor!$B$668,_motor!$C$591&gt;=0.5*_motor!$B$668),"Objetivo",IF(_motor!$D$591&gt;=_motor!$B$668,"Resultado","Autónoma")))))))</f>
        <v/>
      </c>
    </row>
    <row r="12" spans="1:10" x14ac:dyDescent="0.2">
      <c r="A12" s="6" t="str">
        <f>IF(_motor!$B$592=0,"",'02 · Variables'!$B$13)</f>
        <v/>
      </c>
      <c r="B12" s="2" t="str">
        <f>IF(_motor!$B$592=0,"",'02 · Variables'!$C$13)</f>
        <v/>
      </c>
      <c r="C12" s="9" t="str">
        <f>IF(_motor!$B$592=0,"",_motor!$C$592)</f>
        <v/>
      </c>
      <c r="D12" s="9" t="str">
        <f>IF(_motor!$B$592=0,"",_motor!$D$592)</f>
        <v/>
      </c>
      <c r="E12" s="8" t="str">
        <f>IF(OR(_motor!$B$592=0,_motor!$B$672=0),"",_motor!$C$592/_motor!$B$672)</f>
        <v/>
      </c>
      <c r="F12" s="8" t="str">
        <f>IF(OR(_motor!$B$592=0,_motor!$B$672=0),"",_motor!$D$592/_motor!$B$672)</f>
        <v/>
      </c>
      <c r="G12" s="7" t="str">
        <f>IF(_motor!$B$592=0,"",SUMPRODUCT(_motor!$B$586:$B$665*(_motor!$C$586:$C$665&gt;_motor!$C$592))+(SUMPRODUCT(_motor!$B$586:$B$665*(_motor!$C$586:$C$665=_motor!$C$592))+1)/2)</f>
        <v/>
      </c>
      <c r="H12" s="7" t="str">
        <f>IF(_motor!$B$592=0,"",SUMPRODUCT(_motor!$B$586:$B$665*(_motor!$D$586:$D$665&gt;_motor!$D$592))+(SUMPRODUCT(_motor!$B$586:$B$665*(_motor!$D$586:$D$665=_motor!$D$592))+1)/2)</f>
        <v/>
      </c>
      <c r="I12" s="2" t="str">
        <f>IF(_motor!$B$592=0,"",IF(AND(ABS(_motor!$C$592-_motor!$B$668)&lt;=_motor!$B$676+0.000000001,ABS(_motor!$D$592-_motor!$B$668)&lt;=_motor!$B$676+0.000000001),"5 · Pelotón (no concluyente)",IF(AND(_motor!$C$592&gt;=_motor!$B$668,_motor!$D$592&lt;_motor!$B$668),"1 · Entrada / determinante",IF(AND(_motor!$C$592&gt;=_motor!$B$668,_motor!$D$592&gt;=_motor!$B$668),"2 · Intermedia / de enlace",IF(AND(_motor!$C$592&lt;_motor!$B$668,_motor!$D$592&gt;=_motor!$B$668),"3 · Resultado","4 · Excluida / autónoma")))))</f>
        <v/>
      </c>
      <c r="J12" s="2" t="str">
        <f>IF(_motor!$B$592=0,"",IF(AND(ABS(_motor!$C$592-_motor!$B$668)&lt;=_motor!$B$676+0.000000001,ABS(_motor!$D$592-_motor!$B$668)&lt;=_motor!$B$676+0.000000001),"Reguladora",IF(AND(_motor!$C$592&gt;=_motor!$B$668,_motor!$D$592&lt;0.5*_motor!$B$668),"Determinante / entorno",IF(AND(_motor!$C$592&gt;=_motor!$B$668,_motor!$D$592&lt;_motor!$B$668),"Palanca secundaria",IF(AND(_motor!$C$592&gt;=_motor!$B$668,_motor!$D$592&gt;=_motor!$B$668),"Clave / de enlace",IF(AND(_motor!$D$592&gt;=_motor!$B$668,_motor!$C$592&gt;=0.5*_motor!$B$668),"Objetivo",IF(_motor!$D$592&gt;=_motor!$B$668,"Resultado","Autónoma")))))))</f>
        <v/>
      </c>
    </row>
    <row r="13" spans="1:10" x14ac:dyDescent="0.2">
      <c r="A13" s="6" t="str">
        <f>IF(_motor!$B$593=0,"",'02 · Variables'!$B$14)</f>
        <v/>
      </c>
      <c r="B13" s="2" t="str">
        <f>IF(_motor!$B$593=0,"",'02 · Variables'!$C$14)</f>
        <v/>
      </c>
      <c r="C13" s="9" t="str">
        <f>IF(_motor!$B$593=0,"",_motor!$C$593)</f>
        <v/>
      </c>
      <c r="D13" s="9" t="str">
        <f>IF(_motor!$B$593=0,"",_motor!$D$593)</f>
        <v/>
      </c>
      <c r="E13" s="8" t="str">
        <f>IF(OR(_motor!$B$593=0,_motor!$B$672=0),"",_motor!$C$593/_motor!$B$672)</f>
        <v/>
      </c>
      <c r="F13" s="8" t="str">
        <f>IF(OR(_motor!$B$593=0,_motor!$B$672=0),"",_motor!$D$593/_motor!$B$672)</f>
        <v/>
      </c>
      <c r="G13" s="7" t="str">
        <f>IF(_motor!$B$593=0,"",SUMPRODUCT(_motor!$B$586:$B$665*(_motor!$C$586:$C$665&gt;_motor!$C$593))+(SUMPRODUCT(_motor!$B$586:$B$665*(_motor!$C$586:$C$665=_motor!$C$593))+1)/2)</f>
        <v/>
      </c>
      <c r="H13" s="7" t="str">
        <f>IF(_motor!$B$593=0,"",SUMPRODUCT(_motor!$B$586:$B$665*(_motor!$D$586:$D$665&gt;_motor!$D$593))+(SUMPRODUCT(_motor!$B$586:$B$665*(_motor!$D$586:$D$665=_motor!$D$593))+1)/2)</f>
        <v/>
      </c>
      <c r="I13" s="2" t="str">
        <f>IF(_motor!$B$593=0,"",IF(AND(ABS(_motor!$C$593-_motor!$B$668)&lt;=_motor!$B$676+0.000000001,ABS(_motor!$D$593-_motor!$B$668)&lt;=_motor!$B$676+0.000000001),"5 · Pelotón (no concluyente)",IF(AND(_motor!$C$593&gt;=_motor!$B$668,_motor!$D$593&lt;_motor!$B$668),"1 · Entrada / determinante",IF(AND(_motor!$C$593&gt;=_motor!$B$668,_motor!$D$593&gt;=_motor!$B$668),"2 · Intermedia / de enlace",IF(AND(_motor!$C$593&lt;_motor!$B$668,_motor!$D$593&gt;=_motor!$B$668),"3 · Resultado","4 · Excluida / autónoma")))))</f>
        <v/>
      </c>
      <c r="J13" s="2" t="str">
        <f>IF(_motor!$B$593=0,"",IF(AND(ABS(_motor!$C$593-_motor!$B$668)&lt;=_motor!$B$676+0.000000001,ABS(_motor!$D$593-_motor!$B$668)&lt;=_motor!$B$676+0.000000001),"Reguladora",IF(AND(_motor!$C$593&gt;=_motor!$B$668,_motor!$D$593&lt;0.5*_motor!$B$668),"Determinante / entorno",IF(AND(_motor!$C$593&gt;=_motor!$B$668,_motor!$D$593&lt;_motor!$B$668),"Palanca secundaria",IF(AND(_motor!$C$593&gt;=_motor!$B$668,_motor!$D$593&gt;=_motor!$B$668),"Clave / de enlace",IF(AND(_motor!$D$593&gt;=_motor!$B$668,_motor!$C$593&gt;=0.5*_motor!$B$668),"Objetivo",IF(_motor!$D$593&gt;=_motor!$B$668,"Resultado","Autónoma")))))))</f>
        <v/>
      </c>
    </row>
    <row r="14" spans="1:10" x14ac:dyDescent="0.2">
      <c r="A14" s="6" t="str">
        <f>IF(_motor!$B$594=0,"",'02 · Variables'!$B$15)</f>
        <v/>
      </c>
      <c r="B14" s="2" t="str">
        <f>IF(_motor!$B$594=0,"",'02 · Variables'!$C$15)</f>
        <v/>
      </c>
      <c r="C14" s="9" t="str">
        <f>IF(_motor!$B$594=0,"",_motor!$C$594)</f>
        <v/>
      </c>
      <c r="D14" s="9" t="str">
        <f>IF(_motor!$B$594=0,"",_motor!$D$594)</f>
        <v/>
      </c>
      <c r="E14" s="8" t="str">
        <f>IF(OR(_motor!$B$594=0,_motor!$B$672=0),"",_motor!$C$594/_motor!$B$672)</f>
        <v/>
      </c>
      <c r="F14" s="8" t="str">
        <f>IF(OR(_motor!$B$594=0,_motor!$B$672=0),"",_motor!$D$594/_motor!$B$672)</f>
        <v/>
      </c>
      <c r="G14" s="7" t="str">
        <f>IF(_motor!$B$594=0,"",SUMPRODUCT(_motor!$B$586:$B$665*(_motor!$C$586:$C$665&gt;_motor!$C$594))+(SUMPRODUCT(_motor!$B$586:$B$665*(_motor!$C$586:$C$665=_motor!$C$594))+1)/2)</f>
        <v/>
      </c>
      <c r="H14" s="7" t="str">
        <f>IF(_motor!$B$594=0,"",SUMPRODUCT(_motor!$B$586:$B$665*(_motor!$D$586:$D$665&gt;_motor!$D$594))+(SUMPRODUCT(_motor!$B$586:$B$665*(_motor!$D$586:$D$665=_motor!$D$594))+1)/2)</f>
        <v/>
      </c>
      <c r="I14" s="2" t="str">
        <f>IF(_motor!$B$594=0,"",IF(AND(ABS(_motor!$C$594-_motor!$B$668)&lt;=_motor!$B$676+0.000000001,ABS(_motor!$D$594-_motor!$B$668)&lt;=_motor!$B$676+0.000000001),"5 · Pelotón (no concluyente)",IF(AND(_motor!$C$594&gt;=_motor!$B$668,_motor!$D$594&lt;_motor!$B$668),"1 · Entrada / determinante",IF(AND(_motor!$C$594&gt;=_motor!$B$668,_motor!$D$594&gt;=_motor!$B$668),"2 · Intermedia / de enlace",IF(AND(_motor!$C$594&lt;_motor!$B$668,_motor!$D$594&gt;=_motor!$B$668),"3 · Resultado","4 · Excluida / autónoma")))))</f>
        <v/>
      </c>
      <c r="J14" s="2" t="str">
        <f>IF(_motor!$B$594=0,"",IF(AND(ABS(_motor!$C$594-_motor!$B$668)&lt;=_motor!$B$676+0.000000001,ABS(_motor!$D$594-_motor!$B$668)&lt;=_motor!$B$676+0.000000001),"Reguladora",IF(AND(_motor!$C$594&gt;=_motor!$B$668,_motor!$D$594&lt;0.5*_motor!$B$668),"Determinante / entorno",IF(AND(_motor!$C$594&gt;=_motor!$B$668,_motor!$D$594&lt;_motor!$B$668),"Palanca secundaria",IF(AND(_motor!$C$594&gt;=_motor!$B$668,_motor!$D$594&gt;=_motor!$B$668),"Clave / de enlace",IF(AND(_motor!$D$594&gt;=_motor!$B$668,_motor!$C$594&gt;=0.5*_motor!$B$668),"Objetivo",IF(_motor!$D$594&gt;=_motor!$B$668,"Resultado","Autónoma")))))))</f>
        <v/>
      </c>
    </row>
    <row r="15" spans="1:10" x14ac:dyDescent="0.2">
      <c r="A15" s="6" t="str">
        <f>IF(_motor!$B$595=0,"",'02 · Variables'!$B$16)</f>
        <v/>
      </c>
      <c r="B15" s="2" t="str">
        <f>IF(_motor!$B$595=0,"",'02 · Variables'!$C$16)</f>
        <v/>
      </c>
      <c r="C15" s="9" t="str">
        <f>IF(_motor!$B$595=0,"",_motor!$C$595)</f>
        <v/>
      </c>
      <c r="D15" s="9" t="str">
        <f>IF(_motor!$B$595=0,"",_motor!$D$595)</f>
        <v/>
      </c>
      <c r="E15" s="8" t="str">
        <f>IF(OR(_motor!$B$595=0,_motor!$B$672=0),"",_motor!$C$595/_motor!$B$672)</f>
        <v/>
      </c>
      <c r="F15" s="8" t="str">
        <f>IF(OR(_motor!$B$595=0,_motor!$B$672=0),"",_motor!$D$595/_motor!$B$672)</f>
        <v/>
      </c>
      <c r="G15" s="7" t="str">
        <f>IF(_motor!$B$595=0,"",SUMPRODUCT(_motor!$B$586:$B$665*(_motor!$C$586:$C$665&gt;_motor!$C$595))+(SUMPRODUCT(_motor!$B$586:$B$665*(_motor!$C$586:$C$665=_motor!$C$595))+1)/2)</f>
        <v/>
      </c>
      <c r="H15" s="7" t="str">
        <f>IF(_motor!$B$595=0,"",SUMPRODUCT(_motor!$B$586:$B$665*(_motor!$D$586:$D$665&gt;_motor!$D$595))+(SUMPRODUCT(_motor!$B$586:$B$665*(_motor!$D$586:$D$665=_motor!$D$595))+1)/2)</f>
        <v/>
      </c>
      <c r="I15" s="2" t="str">
        <f>IF(_motor!$B$595=0,"",IF(AND(ABS(_motor!$C$595-_motor!$B$668)&lt;=_motor!$B$676+0.000000001,ABS(_motor!$D$595-_motor!$B$668)&lt;=_motor!$B$676+0.000000001),"5 · Pelotón (no concluyente)",IF(AND(_motor!$C$595&gt;=_motor!$B$668,_motor!$D$595&lt;_motor!$B$668),"1 · Entrada / determinante",IF(AND(_motor!$C$595&gt;=_motor!$B$668,_motor!$D$595&gt;=_motor!$B$668),"2 · Intermedia / de enlace",IF(AND(_motor!$C$595&lt;_motor!$B$668,_motor!$D$595&gt;=_motor!$B$668),"3 · Resultado","4 · Excluida / autónoma")))))</f>
        <v/>
      </c>
      <c r="J15" s="2" t="str">
        <f>IF(_motor!$B$595=0,"",IF(AND(ABS(_motor!$C$595-_motor!$B$668)&lt;=_motor!$B$676+0.000000001,ABS(_motor!$D$595-_motor!$B$668)&lt;=_motor!$B$676+0.000000001),"Reguladora",IF(AND(_motor!$C$595&gt;=_motor!$B$668,_motor!$D$595&lt;0.5*_motor!$B$668),"Determinante / entorno",IF(AND(_motor!$C$595&gt;=_motor!$B$668,_motor!$D$595&lt;_motor!$B$668),"Palanca secundaria",IF(AND(_motor!$C$595&gt;=_motor!$B$668,_motor!$D$595&gt;=_motor!$B$668),"Clave / de enlace",IF(AND(_motor!$D$595&gt;=_motor!$B$668,_motor!$C$595&gt;=0.5*_motor!$B$668),"Objetivo",IF(_motor!$D$595&gt;=_motor!$B$668,"Resultado","Autónoma")))))))</f>
        <v/>
      </c>
    </row>
    <row r="16" spans="1:10" x14ac:dyDescent="0.2">
      <c r="A16" s="6" t="str">
        <f>IF(_motor!$B$596=0,"",'02 · Variables'!$B$17)</f>
        <v/>
      </c>
      <c r="B16" s="2" t="str">
        <f>IF(_motor!$B$596=0,"",'02 · Variables'!$C$17)</f>
        <v/>
      </c>
      <c r="C16" s="9" t="str">
        <f>IF(_motor!$B$596=0,"",_motor!$C$596)</f>
        <v/>
      </c>
      <c r="D16" s="9" t="str">
        <f>IF(_motor!$B$596=0,"",_motor!$D$596)</f>
        <v/>
      </c>
      <c r="E16" s="8" t="str">
        <f>IF(OR(_motor!$B$596=0,_motor!$B$672=0),"",_motor!$C$596/_motor!$B$672)</f>
        <v/>
      </c>
      <c r="F16" s="8" t="str">
        <f>IF(OR(_motor!$B$596=0,_motor!$B$672=0),"",_motor!$D$596/_motor!$B$672)</f>
        <v/>
      </c>
      <c r="G16" s="7" t="str">
        <f>IF(_motor!$B$596=0,"",SUMPRODUCT(_motor!$B$586:$B$665*(_motor!$C$586:$C$665&gt;_motor!$C$596))+(SUMPRODUCT(_motor!$B$586:$B$665*(_motor!$C$586:$C$665=_motor!$C$596))+1)/2)</f>
        <v/>
      </c>
      <c r="H16" s="7" t="str">
        <f>IF(_motor!$B$596=0,"",SUMPRODUCT(_motor!$B$586:$B$665*(_motor!$D$586:$D$665&gt;_motor!$D$596))+(SUMPRODUCT(_motor!$B$586:$B$665*(_motor!$D$586:$D$665=_motor!$D$596))+1)/2)</f>
        <v/>
      </c>
      <c r="I16" s="2" t="str">
        <f>IF(_motor!$B$596=0,"",IF(AND(ABS(_motor!$C$596-_motor!$B$668)&lt;=_motor!$B$676+0.000000001,ABS(_motor!$D$596-_motor!$B$668)&lt;=_motor!$B$676+0.000000001),"5 · Pelotón (no concluyente)",IF(AND(_motor!$C$596&gt;=_motor!$B$668,_motor!$D$596&lt;_motor!$B$668),"1 · Entrada / determinante",IF(AND(_motor!$C$596&gt;=_motor!$B$668,_motor!$D$596&gt;=_motor!$B$668),"2 · Intermedia / de enlace",IF(AND(_motor!$C$596&lt;_motor!$B$668,_motor!$D$596&gt;=_motor!$B$668),"3 · Resultado","4 · Excluida / autónoma")))))</f>
        <v/>
      </c>
      <c r="J16" s="2" t="str">
        <f>IF(_motor!$B$596=0,"",IF(AND(ABS(_motor!$C$596-_motor!$B$668)&lt;=_motor!$B$676+0.000000001,ABS(_motor!$D$596-_motor!$B$668)&lt;=_motor!$B$676+0.000000001),"Reguladora",IF(AND(_motor!$C$596&gt;=_motor!$B$668,_motor!$D$596&lt;0.5*_motor!$B$668),"Determinante / entorno",IF(AND(_motor!$C$596&gt;=_motor!$B$668,_motor!$D$596&lt;_motor!$B$668),"Palanca secundaria",IF(AND(_motor!$C$596&gt;=_motor!$B$668,_motor!$D$596&gt;=_motor!$B$668),"Clave / de enlace",IF(AND(_motor!$D$596&gt;=_motor!$B$668,_motor!$C$596&gt;=0.5*_motor!$B$668),"Objetivo",IF(_motor!$D$596&gt;=_motor!$B$668,"Resultado","Autónoma")))))))</f>
        <v/>
      </c>
    </row>
    <row r="17" spans="1:10" x14ac:dyDescent="0.2">
      <c r="A17" s="6" t="str">
        <f>IF(_motor!$B$597=0,"",'02 · Variables'!$B$18)</f>
        <v/>
      </c>
      <c r="B17" s="2" t="str">
        <f>IF(_motor!$B$597=0,"",'02 · Variables'!$C$18)</f>
        <v/>
      </c>
      <c r="C17" s="9" t="str">
        <f>IF(_motor!$B$597=0,"",_motor!$C$597)</f>
        <v/>
      </c>
      <c r="D17" s="9" t="str">
        <f>IF(_motor!$B$597=0,"",_motor!$D$597)</f>
        <v/>
      </c>
      <c r="E17" s="8" t="str">
        <f>IF(OR(_motor!$B$597=0,_motor!$B$672=0),"",_motor!$C$597/_motor!$B$672)</f>
        <v/>
      </c>
      <c r="F17" s="8" t="str">
        <f>IF(OR(_motor!$B$597=0,_motor!$B$672=0),"",_motor!$D$597/_motor!$B$672)</f>
        <v/>
      </c>
      <c r="G17" s="7" t="str">
        <f>IF(_motor!$B$597=0,"",SUMPRODUCT(_motor!$B$586:$B$665*(_motor!$C$586:$C$665&gt;_motor!$C$597))+(SUMPRODUCT(_motor!$B$586:$B$665*(_motor!$C$586:$C$665=_motor!$C$597))+1)/2)</f>
        <v/>
      </c>
      <c r="H17" s="7" t="str">
        <f>IF(_motor!$B$597=0,"",SUMPRODUCT(_motor!$B$586:$B$665*(_motor!$D$586:$D$665&gt;_motor!$D$597))+(SUMPRODUCT(_motor!$B$586:$B$665*(_motor!$D$586:$D$665=_motor!$D$597))+1)/2)</f>
        <v/>
      </c>
      <c r="I17" s="2" t="str">
        <f>IF(_motor!$B$597=0,"",IF(AND(ABS(_motor!$C$597-_motor!$B$668)&lt;=_motor!$B$676+0.000000001,ABS(_motor!$D$597-_motor!$B$668)&lt;=_motor!$B$676+0.000000001),"5 · Pelotón (no concluyente)",IF(AND(_motor!$C$597&gt;=_motor!$B$668,_motor!$D$597&lt;_motor!$B$668),"1 · Entrada / determinante",IF(AND(_motor!$C$597&gt;=_motor!$B$668,_motor!$D$597&gt;=_motor!$B$668),"2 · Intermedia / de enlace",IF(AND(_motor!$C$597&lt;_motor!$B$668,_motor!$D$597&gt;=_motor!$B$668),"3 · Resultado","4 · Excluida / autónoma")))))</f>
        <v/>
      </c>
      <c r="J17" s="2" t="str">
        <f>IF(_motor!$B$597=0,"",IF(AND(ABS(_motor!$C$597-_motor!$B$668)&lt;=_motor!$B$676+0.000000001,ABS(_motor!$D$597-_motor!$B$668)&lt;=_motor!$B$676+0.000000001),"Reguladora",IF(AND(_motor!$C$597&gt;=_motor!$B$668,_motor!$D$597&lt;0.5*_motor!$B$668),"Determinante / entorno",IF(AND(_motor!$C$597&gt;=_motor!$B$668,_motor!$D$597&lt;_motor!$B$668),"Palanca secundaria",IF(AND(_motor!$C$597&gt;=_motor!$B$668,_motor!$D$597&gt;=_motor!$B$668),"Clave / de enlace",IF(AND(_motor!$D$597&gt;=_motor!$B$668,_motor!$C$597&gt;=0.5*_motor!$B$668),"Objetivo",IF(_motor!$D$597&gt;=_motor!$B$668,"Resultado","Autónoma")))))))</f>
        <v/>
      </c>
    </row>
    <row r="18" spans="1:10" x14ac:dyDescent="0.2">
      <c r="A18" s="6" t="str">
        <f>IF(_motor!$B$598=0,"",'02 · Variables'!$B$19)</f>
        <v/>
      </c>
      <c r="B18" s="2" t="str">
        <f>IF(_motor!$B$598=0,"",'02 · Variables'!$C$19)</f>
        <v/>
      </c>
      <c r="C18" s="9" t="str">
        <f>IF(_motor!$B$598=0,"",_motor!$C$598)</f>
        <v/>
      </c>
      <c r="D18" s="9" t="str">
        <f>IF(_motor!$B$598=0,"",_motor!$D$598)</f>
        <v/>
      </c>
      <c r="E18" s="8" t="str">
        <f>IF(OR(_motor!$B$598=0,_motor!$B$672=0),"",_motor!$C$598/_motor!$B$672)</f>
        <v/>
      </c>
      <c r="F18" s="8" t="str">
        <f>IF(OR(_motor!$B$598=0,_motor!$B$672=0),"",_motor!$D$598/_motor!$B$672)</f>
        <v/>
      </c>
      <c r="G18" s="7" t="str">
        <f>IF(_motor!$B$598=0,"",SUMPRODUCT(_motor!$B$586:$B$665*(_motor!$C$586:$C$665&gt;_motor!$C$598))+(SUMPRODUCT(_motor!$B$586:$B$665*(_motor!$C$586:$C$665=_motor!$C$598))+1)/2)</f>
        <v/>
      </c>
      <c r="H18" s="7" t="str">
        <f>IF(_motor!$B$598=0,"",SUMPRODUCT(_motor!$B$586:$B$665*(_motor!$D$586:$D$665&gt;_motor!$D$598))+(SUMPRODUCT(_motor!$B$586:$B$665*(_motor!$D$586:$D$665=_motor!$D$598))+1)/2)</f>
        <v/>
      </c>
      <c r="I18" s="2" t="str">
        <f>IF(_motor!$B$598=0,"",IF(AND(ABS(_motor!$C$598-_motor!$B$668)&lt;=_motor!$B$676+0.000000001,ABS(_motor!$D$598-_motor!$B$668)&lt;=_motor!$B$676+0.000000001),"5 · Pelotón (no concluyente)",IF(AND(_motor!$C$598&gt;=_motor!$B$668,_motor!$D$598&lt;_motor!$B$668),"1 · Entrada / determinante",IF(AND(_motor!$C$598&gt;=_motor!$B$668,_motor!$D$598&gt;=_motor!$B$668),"2 · Intermedia / de enlace",IF(AND(_motor!$C$598&lt;_motor!$B$668,_motor!$D$598&gt;=_motor!$B$668),"3 · Resultado","4 · Excluida / autónoma")))))</f>
        <v/>
      </c>
      <c r="J18" s="2" t="str">
        <f>IF(_motor!$B$598=0,"",IF(AND(ABS(_motor!$C$598-_motor!$B$668)&lt;=_motor!$B$676+0.000000001,ABS(_motor!$D$598-_motor!$B$668)&lt;=_motor!$B$676+0.000000001),"Reguladora",IF(AND(_motor!$C$598&gt;=_motor!$B$668,_motor!$D$598&lt;0.5*_motor!$B$668),"Determinante / entorno",IF(AND(_motor!$C$598&gt;=_motor!$B$668,_motor!$D$598&lt;_motor!$B$668),"Palanca secundaria",IF(AND(_motor!$C$598&gt;=_motor!$B$668,_motor!$D$598&gt;=_motor!$B$668),"Clave / de enlace",IF(AND(_motor!$D$598&gt;=_motor!$B$668,_motor!$C$598&gt;=0.5*_motor!$B$668),"Objetivo",IF(_motor!$D$598&gt;=_motor!$B$668,"Resultado","Autónoma")))))))</f>
        <v/>
      </c>
    </row>
    <row r="19" spans="1:10" x14ac:dyDescent="0.2">
      <c r="A19" s="6" t="str">
        <f>IF(_motor!$B$599=0,"",'02 · Variables'!$B$20)</f>
        <v/>
      </c>
      <c r="B19" s="2" t="str">
        <f>IF(_motor!$B$599=0,"",'02 · Variables'!$C$20)</f>
        <v/>
      </c>
      <c r="C19" s="9" t="str">
        <f>IF(_motor!$B$599=0,"",_motor!$C$599)</f>
        <v/>
      </c>
      <c r="D19" s="9" t="str">
        <f>IF(_motor!$B$599=0,"",_motor!$D$599)</f>
        <v/>
      </c>
      <c r="E19" s="8" t="str">
        <f>IF(OR(_motor!$B$599=0,_motor!$B$672=0),"",_motor!$C$599/_motor!$B$672)</f>
        <v/>
      </c>
      <c r="F19" s="8" t="str">
        <f>IF(OR(_motor!$B$599=0,_motor!$B$672=0),"",_motor!$D$599/_motor!$B$672)</f>
        <v/>
      </c>
      <c r="G19" s="7" t="str">
        <f>IF(_motor!$B$599=0,"",SUMPRODUCT(_motor!$B$586:$B$665*(_motor!$C$586:$C$665&gt;_motor!$C$599))+(SUMPRODUCT(_motor!$B$586:$B$665*(_motor!$C$586:$C$665=_motor!$C$599))+1)/2)</f>
        <v/>
      </c>
      <c r="H19" s="7" t="str">
        <f>IF(_motor!$B$599=0,"",SUMPRODUCT(_motor!$B$586:$B$665*(_motor!$D$586:$D$665&gt;_motor!$D$599))+(SUMPRODUCT(_motor!$B$586:$B$665*(_motor!$D$586:$D$665=_motor!$D$599))+1)/2)</f>
        <v/>
      </c>
      <c r="I19" s="2" t="str">
        <f>IF(_motor!$B$599=0,"",IF(AND(ABS(_motor!$C$599-_motor!$B$668)&lt;=_motor!$B$676+0.000000001,ABS(_motor!$D$599-_motor!$B$668)&lt;=_motor!$B$676+0.000000001),"5 · Pelotón (no concluyente)",IF(AND(_motor!$C$599&gt;=_motor!$B$668,_motor!$D$599&lt;_motor!$B$668),"1 · Entrada / determinante",IF(AND(_motor!$C$599&gt;=_motor!$B$668,_motor!$D$599&gt;=_motor!$B$668),"2 · Intermedia / de enlace",IF(AND(_motor!$C$599&lt;_motor!$B$668,_motor!$D$599&gt;=_motor!$B$668),"3 · Resultado","4 · Excluida / autónoma")))))</f>
        <v/>
      </c>
      <c r="J19" s="2" t="str">
        <f>IF(_motor!$B$599=0,"",IF(AND(ABS(_motor!$C$599-_motor!$B$668)&lt;=_motor!$B$676+0.000000001,ABS(_motor!$D$599-_motor!$B$668)&lt;=_motor!$B$676+0.000000001),"Reguladora",IF(AND(_motor!$C$599&gt;=_motor!$B$668,_motor!$D$599&lt;0.5*_motor!$B$668),"Determinante / entorno",IF(AND(_motor!$C$599&gt;=_motor!$B$668,_motor!$D$599&lt;_motor!$B$668),"Palanca secundaria",IF(AND(_motor!$C$599&gt;=_motor!$B$668,_motor!$D$599&gt;=_motor!$B$668),"Clave / de enlace",IF(AND(_motor!$D$599&gt;=_motor!$B$668,_motor!$C$599&gt;=0.5*_motor!$B$668),"Objetivo",IF(_motor!$D$599&gt;=_motor!$B$668,"Resultado","Autónoma")))))))</f>
        <v/>
      </c>
    </row>
    <row r="20" spans="1:10" x14ac:dyDescent="0.2">
      <c r="A20" s="6" t="str">
        <f>IF(_motor!$B$600=0,"",'02 · Variables'!$B$21)</f>
        <v/>
      </c>
      <c r="B20" s="2" t="str">
        <f>IF(_motor!$B$600=0,"",'02 · Variables'!$C$21)</f>
        <v/>
      </c>
      <c r="C20" s="9" t="str">
        <f>IF(_motor!$B$600=0,"",_motor!$C$600)</f>
        <v/>
      </c>
      <c r="D20" s="9" t="str">
        <f>IF(_motor!$B$600=0,"",_motor!$D$600)</f>
        <v/>
      </c>
      <c r="E20" s="8" t="str">
        <f>IF(OR(_motor!$B$600=0,_motor!$B$672=0),"",_motor!$C$600/_motor!$B$672)</f>
        <v/>
      </c>
      <c r="F20" s="8" t="str">
        <f>IF(OR(_motor!$B$600=0,_motor!$B$672=0),"",_motor!$D$600/_motor!$B$672)</f>
        <v/>
      </c>
      <c r="G20" s="7" t="str">
        <f>IF(_motor!$B$600=0,"",SUMPRODUCT(_motor!$B$586:$B$665*(_motor!$C$586:$C$665&gt;_motor!$C$600))+(SUMPRODUCT(_motor!$B$586:$B$665*(_motor!$C$586:$C$665=_motor!$C$600))+1)/2)</f>
        <v/>
      </c>
      <c r="H20" s="7" t="str">
        <f>IF(_motor!$B$600=0,"",SUMPRODUCT(_motor!$B$586:$B$665*(_motor!$D$586:$D$665&gt;_motor!$D$600))+(SUMPRODUCT(_motor!$B$586:$B$665*(_motor!$D$586:$D$665=_motor!$D$600))+1)/2)</f>
        <v/>
      </c>
      <c r="I20" s="2" t="str">
        <f>IF(_motor!$B$600=0,"",IF(AND(ABS(_motor!$C$600-_motor!$B$668)&lt;=_motor!$B$676+0.000000001,ABS(_motor!$D$600-_motor!$B$668)&lt;=_motor!$B$676+0.000000001),"5 · Pelotón (no concluyente)",IF(AND(_motor!$C$600&gt;=_motor!$B$668,_motor!$D$600&lt;_motor!$B$668),"1 · Entrada / determinante",IF(AND(_motor!$C$600&gt;=_motor!$B$668,_motor!$D$600&gt;=_motor!$B$668),"2 · Intermedia / de enlace",IF(AND(_motor!$C$600&lt;_motor!$B$668,_motor!$D$600&gt;=_motor!$B$668),"3 · Resultado","4 · Excluida / autónoma")))))</f>
        <v/>
      </c>
      <c r="J20" s="2" t="str">
        <f>IF(_motor!$B$600=0,"",IF(AND(ABS(_motor!$C$600-_motor!$B$668)&lt;=_motor!$B$676+0.000000001,ABS(_motor!$D$600-_motor!$B$668)&lt;=_motor!$B$676+0.000000001),"Reguladora",IF(AND(_motor!$C$600&gt;=_motor!$B$668,_motor!$D$600&lt;0.5*_motor!$B$668),"Determinante / entorno",IF(AND(_motor!$C$600&gt;=_motor!$B$668,_motor!$D$600&lt;_motor!$B$668),"Palanca secundaria",IF(AND(_motor!$C$600&gt;=_motor!$B$668,_motor!$D$600&gt;=_motor!$B$668),"Clave / de enlace",IF(AND(_motor!$D$600&gt;=_motor!$B$668,_motor!$C$600&gt;=0.5*_motor!$B$668),"Objetivo",IF(_motor!$D$600&gt;=_motor!$B$668,"Resultado","Autónoma")))))))</f>
        <v/>
      </c>
    </row>
    <row r="21" spans="1:10" x14ac:dyDescent="0.2">
      <c r="A21" s="6" t="str">
        <f>IF(_motor!$B$601=0,"",'02 · Variables'!$B$22)</f>
        <v/>
      </c>
      <c r="B21" s="2" t="str">
        <f>IF(_motor!$B$601=0,"",'02 · Variables'!$C$22)</f>
        <v/>
      </c>
      <c r="C21" s="9" t="str">
        <f>IF(_motor!$B$601=0,"",_motor!$C$601)</f>
        <v/>
      </c>
      <c r="D21" s="9" t="str">
        <f>IF(_motor!$B$601=0,"",_motor!$D$601)</f>
        <v/>
      </c>
      <c r="E21" s="8" t="str">
        <f>IF(OR(_motor!$B$601=0,_motor!$B$672=0),"",_motor!$C$601/_motor!$B$672)</f>
        <v/>
      </c>
      <c r="F21" s="8" t="str">
        <f>IF(OR(_motor!$B$601=0,_motor!$B$672=0),"",_motor!$D$601/_motor!$B$672)</f>
        <v/>
      </c>
      <c r="G21" s="7" t="str">
        <f>IF(_motor!$B$601=0,"",SUMPRODUCT(_motor!$B$586:$B$665*(_motor!$C$586:$C$665&gt;_motor!$C$601))+(SUMPRODUCT(_motor!$B$586:$B$665*(_motor!$C$586:$C$665=_motor!$C$601))+1)/2)</f>
        <v/>
      </c>
      <c r="H21" s="7" t="str">
        <f>IF(_motor!$B$601=0,"",SUMPRODUCT(_motor!$B$586:$B$665*(_motor!$D$586:$D$665&gt;_motor!$D$601))+(SUMPRODUCT(_motor!$B$586:$B$665*(_motor!$D$586:$D$665=_motor!$D$601))+1)/2)</f>
        <v/>
      </c>
      <c r="I21" s="2" t="str">
        <f>IF(_motor!$B$601=0,"",IF(AND(ABS(_motor!$C$601-_motor!$B$668)&lt;=_motor!$B$676+0.000000001,ABS(_motor!$D$601-_motor!$B$668)&lt;=_motor!$B$676+0.000000001),"5 · Pelotón (no concluyente)",IF(AND(_motor!$C$601&gt;=_motor!$B$668,_motor!$D$601&lt;_motor!$B$668),"1 · Entrada / determinante",IF(AND(_motor!$C$601&gt;=_motor!$B$668,_motor!$D$601&gt;=_motor!$B$668),"2 · Intermedia / de enlace",IF(AND(_motor!$C$601&lt;_motor!$B$668,_motor!$D$601&gt;=_motor!$B$668),"3 · Resultado","4 · Excluida / autónoma")))))</f>
        <v/>
      </c>
      <c r="J21" s="2" t="str">
        <f>IF(_motor!$B$601=0,"",IF(AND(ABS(_motor!$C$601-_motor!$B$668)&lt;=_motor!$B$676+0.000000001,ABS(_motor!$D$601-_motor!$B$668)&lt;=_motor!$B$676+0.000000001),"Reguladora",IF(AND(_motor!$C$601&gt;=_motor!$B$668,_motor!$D$601&lt;0.5*_motor!$B$668),"Determinante / entorno",IF(AND(_motor!$C$601&gt;=_motor!$B$668,_motor!$D$601&lt;_motor!$B$668),"Palanca secundaria",IF(AND(_motor!$C$601&gt;=_motor!$B$668,_motor!$D$601&gt;=_motor!$B$668),"Clave / de enlace",IF(AND(_motor!$D$601&gt;=_motor!$B$668,_motor!$C$601&gt;=0.5*_motor!$B$668),"Objetivo",IF(_motor!$D$601&gt;=_motor!$B$668,"Resultado","Autónoma")))))))</f>
        <v/>
      </c>
    </row>
    <row r="22" spans="1:10" x14ac:dyDescent="0.2">
      <c r="A22" s="6" t="str">
        <f>IF(_motor!$B$602=0,"",'02 · Variables'!$B$23)</f>
        <v/>
      </c>
      <c r="B22" s="2" t="str">
        <f>IF(_motor!$B$602=0,"",'02 · Variables'!$C$23)</f>
        <v/>
      </c>
      <c r="C22" s="9" t="str">
        <f>IF(_motor!$B$602=0,"",_motor!$C$602)</f>
        <v/>
      </c>
      <c r="D22" s="9" t="str">
        <f>IF(_motor!$B$602=0,"",_motor!$D$602)</f>
        <v/>
      </c>
      <c r="E22" s="8" t="str">
        <f>IF(OR(_motor!$B$602=0,_motor!$B$672=0),"",_motor!$C$602/_motor!$B$672)</f>
        <v/>
      </c>
      <c r="F22" s="8" t="str">
        <f>IF(OR(_motor!$B$602=0,_motor!$B$672=0),"",_motor!$D$602/_motor!$B$672)</f>
        <v/>
      </c>
      <c r="G22" s="7" t="str">
        <f>IF(_motor!$B$602=0,"",SUMPRODUCT(_motor!$B$586:$B$665*(_motor!$C$586:$C$665&gt;_motor!$C$602))+(SUMPRODUCT(_motor!$B$586:$B$665*(_motor!$C$586:$C$665=_motor!$C$602))+1)/2)</f>
        <v/>
      </c>
      <c r="H22" s="7" t="str">
        <f>IF(_motor!$B$602=0,"",SUMPRODUCT(_motor!$B$586:$B$665*(_motor!$D$586:$D$665&gt;_motor!$D$602))+(SUMPRODUCT(_motor!$B$586:$B$665*(_motor!$D$586:$D$665=_motor!$D$602))+1)/2)</f>
        <v/>
      </c>
      <c r="I22" s="2" t="str">
        <f>IF(_motor!$B$602=0,"",IF(AND(ABS(_motor!$C$602-_motor!$B$668)&lt;=_motor!$B$676+0.000000001,ABS(_motor!$D$602-_motor!$B$668)&lt;=_motor!$B$676+0.000000001),"5 · Pelotón (no concluyente)",IF(AND(_motor!$C$602&gt;=_motor!$B$668,_motor!$D$602&lt;_motor!$B$668),"1 · Entrada / determinante",IF(AND(_motor!$C$602&gt;=_motor!$B$668,_motor!$D$602&gt;=_motor!$B$668),"2 · Intermedia / de enlace",IF(AND(_motor!$C$602&lt;_motor!$B$668,_motor!$D$602&gt;=_motor!$B$668),"3 · Resultado","4 · Excluida / autónoma")))))</f>
        <v/>
      </c>
      <c r="J22" s="2" t="str">
        <f>IF(_motor!$B$602=0,"",IF(AND(ABS(_motor!$C$602-_motor!$B$668)&lt;=_motor!$B$676+0.000000001,ABS(_motor!$D$602-_motor!$B$668)&lt;=_motor!$B$676+0.000000001),"Reguladora",IF(AND(_motor!$C$602&gt;=_motor!$B$668,_motor!$D$602&lt;0.5*_motor!$B$668),"Determinante / entorno",IF(AND(_motor!$C$602&gt;=_motor!$B$668,_motor!$D$602&lt;_motor!$B$668),"Palanca secundaria",IF(AND(_motor!$C$602&gt;=_motor!$B$668,_motor!$D$602&gt;=_motor!$B$668),"Clave / de enlace",IF(AND(_motor!$D$602&gt;=_motor!$B$668,_motor!$C$602&gt;=0.5*_motor!$B$668),"Objetivo",IF(_motor!$D$602&gt;=_motor!$B$668,"Resultado","Autónoma")))))))</f>
        <v/>
      </c>
    </row>
    <row r="23" spans="1:10" x14ac:dyDescent="0.2">
      <c r="A23" s="6" t="str">
        <f>IF(_motor!$B$603=0,"",'02 · Variables'!$B$24)</f>
        <v/>
      </c>
      <c r="B23" s="2" t="str">
        <f>IF(_motor!$B$603=0,"",'02 · Variables'!$C$24)</f>
        <v/>
      </c>
      <c r="C23" s="9" t="str">
        <f>IF(_motor!$B$603=0,"",_motor!$C$603)</f>
        <v/>
      </c>
      <c r="D23" s="9" t="str">
        <f>IF(_motor!$B$603=0,"",_motor!$D$603)</f>
        <v/>
      </c>
      <c r="E23" s="8" t="str">
        <f>IF(OR(_motor!$B$603=0,_motor!$B$672=0),"",_motor!$C$603/_motor!$B$672)</f>
        <v/>
      </c>
      <c r="F23" s="8" t="str">
        <f>IF(OR(_motor!$B$603=0,_motor!$B$672=0),"",_motor!$D$603/_motor!$B$672)</f>
        <v/>
      </c>
      <c r="G23" s="7" t="str">
        <f>IF(_motor!$B$603=0,"",SUMPRODUCT(_motor!$B$586:$B$665*(_motor!$C$586:$C$665&gt;_motor!$C$603))+(SUMPRODUCT(_motor!$B$586:$B$665*(_motor!$C$586:$C$665=_motor!$C$603))+1)/2)</f>
        <v/>
      </c>
      <c r="H23" s="7" t="str">
        <f>IF(_motor!$B$603=0,"",SUMPRODUCT(_motor!$B$586:$B$665*(_motor!$D$586:$D$665&gt;_motor!$D$603))+(SUMPRODUCT(_motor!$B$586:$B$665*(_motor!$D$586:$D$665=_motor!$D$603))+1)/2)</f>
        <v/>
      </c>
      <c r="I23" s="2" t="str">
        <f>IF(_motor!$B$603=0,"",IF(AND(ABS(_motor!$C$603-_motor!$B$668)&lt;=_motor!$B$676+0.000000001,ABS(_motor!$D$603-_motor!$B$668)&lt;=_motor!$B$676+0.000000001),"5 · Pelotón (no concluyente)",IF(AND(_motor!$C$603&gt;=_motor!$B$668,_motor!$D$603&lt;_motor!$B$668),"1 · Entrada / determinante",IF(AND(_motor!$C$603&gt;=_motor!$B$668,_motor!$D$603&gt;=_motor!$B$668),"2 · Intermedia / de enlace",IF(AND(_motor!$C$603&lt;_motor!$B$668,_motor!$D$603&gt;=_motor!$B$668),"3 · Resultado","4 · Excluida / autónoma")))))</f>
        <v/>
      </c>
      <c r="J23" s="2" t="str">
        <f>IF(_motor!$B$603=0,"",IF(AND(ABS(_motor!$C$603-_motor!$B$668)&lt;=_motor!$B$676+0.000000001,ABS(_motor!$D$603-_motor!$B$668)&lt;=_motor!$B$676+0.000000001),"Reguladora",IF(AND(_motor!$C$603&gt;=_motor!$B$668,_motor!$D$603&lt;0.5*_motor!$B$668),"Determinante / entorno",IF(AND(_motor!$C$603&gt;=_motor!$B$668,_motor!$D$603&lt;_motor!$B$668),"Palanca secundaria",IF(AND(_motor!$C$603&gt;=_motor!$B$668,_motor!$D$603&gt;=_motor!$B$668),"Clave / de enlace",IF(AND(_motor!$D$603&gt;=_motor!$B$668,_motor!$C$603&gt;=0.5*_motor!$B$668),"Objetivo",IF(_motor!$D$603&gt;=_motor!$B$668,"Resultado","Autónoma")))))))</f>
        <v/>
      </c>
    </row>
    <row r="24" spans="1:10" x14ac:dyDescent="0.2">
      <c r="A24" s="6" t="str">
        <f>IF(_motor!$B$604=0,"",'02 · Variables'!$B$25)</f>
        <v/>
      </c>
      <c r="B24" s="2" t="str">
        <f>IF(_motor!$B$604=0,"",'02 · Variables'!$C$25)</f>
        <v/>
      </c>
      <c r="C24" s="9" t="str">
        <f>IF(_motor!$B$604=0,"",_motor!$C$604)</f>
        <v/>
      </c>
      <c r="D24" s="9" t="str">
        <f>IF(_motor!$B$604=0,"",_motor!$D$604)</f>
        <v/>
      </c>
      <c r="E24" s="8" t="str">
        <f>IF(OR(_motor!$B$604=0,_motor!$B$672=0),"",_motor!$C$604/_motor!$B$672)</f>
        <v/>
      </c>
      <c r="F24" s="8" t="str">
        <f>IF(OR(_motor!$B$604=0,_motor!$B$672=0),"",_motor!$D$604/_motor!$B$672)</f>
        <v/>
      </c>
      <c r="G24" s="7" t="str">
        <f>IF(_motor!$B$604=0,"",SUMPRODUCT(_motor!$B$586:$B$665*(_motor!$C$586:$C$665&gt;_motor!$C$604))+(SUMPRODUCT(_motor!$B$586:$B$665*(_motor!$C$586:$C$665=_motor!$C$604))+1)/2)</f>
        <v/>
      </c>
      <c r="H24" s="7" t="str">
        <f>IF(_motor!$B$604=0,"",SUMPRODUCT(_motor!$B$586:$B$665*(_motor!$D$586:$D$665&gt;_motor!$D$604))+(SUMPRODUCT(_motor!$B$586:$B$665*(_motor!$D$586:$D$665=_motor!$D$604))+1)/2)</f>
        <v/>
      </c>
      <c r="I24" s="2" t="str">
        <f>IF(_motor!$B$604=0,"",IF(AND(ABS(_motor!$C$604-_motor!$B$668)&lt;=_motor!$B$676+0.000000001,ABS(_motor!$D$604-_motor!$B$668)&lt;=_motor!$B$676+0.000000001),"5 · Pelotón (no concluyente)",IF(AND(_motor!$C$604&gt;=_motor!$B$668,_motor!$D$604&lt;_motor!$B$668),"1 · Entrada / determinante",IF(AND(_motor!$C$604&gt;=_motor!$B$668,_motor!$D$604&gt;=_motor!$B$668),"2 · Intermedia / de enlace",IF(AND(_motor!$C$604&lt;_motor!$B$668,_motor!$D$604&gt;=_motor!$B$668),"3 · Resultado","4 · Excluida / autónoma")))))</f>
        <v/>
      </c>
      <c r="J24" s="2" t="str">
        <f>IF(_motor!$B$604=0,"",IF(AND(ABS(_motor!$C$604-_motor!$B$668)&lt;=_motor!$B$676+0.000000001,ABS(_motor!$D$604-_motor!$B$668)&lt;=_motor!$B$676+0.000000001),"Reguladora",IF(AND(_motor!$C$604&gt;=_motor!$B$668,_motor!$D$604&lt;0.5*_motor!$B$668),"Determinante / entorno",IF(AND(_motor!$C$604&gt;=_motor!$B$668,_motor!$D$604&lt;_motor!$B$668),"Palanca secundaria",IF(AND(_motor!$C$604&gt;=_motor!$B$668,_motor!$D$604&gt;=_motor!$B$668),"Clave / de enlace",IF(AND(_motor!$D$604&gt;=_motor!$B$668,_motor!$C$604&gt;=0.5*_motor!$B$668),"Objetivo",IF(_motor!$D$604&gt;=_motor!$B$668,"Resultado","Autónoma")))))))</f>
        <v/>
      </c>
    </row>
    <row r="25" spans="1:10" x14ac:dyDescent="0.2">
      <c r="A25" s="6" t="str">
        <f>IF(_motor!$B$605=0,"",'02 · Variables'!$B$26)</f>
        <v/>
      </c>
      <c r="B25" s="2" t="str">
        <f>IF(_motor!$B$605=0,"",'02 · Variables'!$C$26)</f>
        <v/>
      </c>
      <c r="C25" s="9" t="str">
        <f>IF(_motor!$B$605=0,"",_motor!$C$605)</f>
        <v/>
      </c>
      <c r="D25" s="9" t="str">
        <f>IF(_motor!$B$605=0,"",_motor!$D$605)</f>
        <v/>
      </c>
      <c r="E25" s="8" t="str">
        <f>IF(OR(_motor!$B$605=0,_motor!$B$672=0),"",_motor!$C$605/_motor!$B$672)</f>
        <v/>
      </c>
      <c r="F25" s="8" t="str">
        <f>IF(OR(_motor!$B$605=0,_motor!$B$672=0),"",_motor!$D$605/_motor!$B$672)</f>
        <v/>
      </c>
      <c r="G25" s="7" t="str">
        <f>IF(_motor!$B$605=0,"",SUMPRODUCT(_motor!$B$586:$B$665*(_motor!$C$586:$C$665&gt;_motor!$C$605))+(SUMPRODUCT(_motor!$B$586:$B$665*(_motor!$C$586:$C$665=_motor!$C$605))+1)/2)</f>
        <v/>
      </c>
      <c r="H25" s="7" t="str">
        <f>IF(_motor!$B$605=0,"",SUMPRODUCT(_motor!$B$586:$B$665*(_motor!$D$586:$D$665&gt;_motor!$D$605))+(SUMPRODUCT(_motor!$B$586:$B$665*(_motor!$D$586:$D$665=_motor!$D$605))+1)/2)</f>
        <v/>
      </c>
      <c r="I25" s="2" t="str">
        <f>IF(_motor!$B$605=0,"",IF(AND(ABS(_motor!$C$605-_motor!$B$668)&lt;=_motor!$B$676+0.000000001,ABS(_motor!$D$605-_motor!$B$668)&lt;=_motor!$B$676+0.000000001),"5 · Pelotón (no concluyente)",IF(AND(_motor!$C$605&gt;=_motor!$B$668,_motor!$D$605&lt;_motor!$B$668),"1 · Entrada / determinante",IF(AND(_motor!$C$605&gt;=_motor!$B$668,_motor!$D$605&gt;=_motor!$B$668),"2 · Intermedia / de enlace",IF(AND(_motor!$C$605&lt;_motor!$B$668,_motor!$D$605&gt;=_motor!$B$668),"3 · Resultado","4 · Excluida / autónoma")))))</f>
        <v/>
      </c>
      <c r="J25" s="2" t="str">
        <f>IF(_motor!$B$605=0,"",IF(AND(ABS(_motor!$C$605-_motor!$B$668)&lt;=_motor!$B$676+0.000000001,ABS(_motor!$D$605-_motor!$B$668)&lt;=_motor!$B$676+0.000000001),"Reguladora",IF(AND(_motor!$C$605&gt;=_motor!$B$668,_motor!$D$605&lt;0.5*_motor!$B$668),"Determinante / entorno",IF(AND(_motor!$C$605&gt;=_motor!$B$668,_motor!$D$605&lt;_motor!$B$668),"Palanca secundaria",IF(AND(_motor!$C$605&gt;=_motor!$B$668,_motor!$D$605&gt;=_motor!$B$668),"Clave / de enlace",IF(AND(_motor!$D$605&gt;=_motor!$B$668,_motor!$C$605&gt;=0.5*_motor!$B$668),"Objetivo",IF(_motor!$D$605&gt;=_motor!$B$668,"Resultado","Autónoma")))))))</f>
        <v/>
      </c>
    </row>
    <row r="26" spans="1:10" x14ac:dyDescent="0.2">
      <c r="A26" s="6" t="str">
        <f>IF(_motor!$B$606=0,"",'02 · Variables'!$B$27)</f>
        <v/>
      </c>
      <c r="B26" s="2" t="str">
        <f>IF(_motor!$B$606=0,"",'02 · Variables'!$C$27)</f>
        <v/>
      </c>
      <c r="C26" s="9" t="str">
        <f>IF(_motor!$B$606=0,"",_motor!$C$606)</f>
        <v/>
      </c>
      <c r="D26" s="9" t="str">
        <f>IF(_motor!$B$606=0,"",_motor!$D$606)</f>
        <v/>
      </c>
      <c r="E26" s="8" t="str">
        <f>IF(OR(_motor!$B$606=0,_motor!$B$672=0),"",_motor!$C$606/_motor!$B$672)</f>
        <v/>
      </c>
      <c r="F26" s="8" t="str">
        <f>IF(OR(_motor!$B$606=0,_motor!$B$672=0),"",_motor!$D$606/_motor!$B$672)</f>
        <v/>
      </c>
      <c r="G26" s="7" t="str">
        <f>IF(_motor!$B$606=0,"",SUMPRODUCT(_motor!$B$586:$B$665*(_motor!$C$586:$C$665&gt;_motor!$C$606))+(SUMPRODUCT(_motor!$B$586:$B$665*(_motor!$C$586:$C$665=_motor!$C$606))+1)/2)</f>
        <v/>
      </c>
      <c r="H26" s="7" t="str">
        <f>IF(_motor!$B$606=0,"",SUMPRODUCT(_motor!$B$586:$B$665*(_motor!$D$586:$D$665&gt;_motor!$D$606))+(SUMPRODUCT(_motor!$B$586:$B$665*(_motor!$D$586:$D$665=_motor!$D$606))+1)/2)</f>
        <v/>
      </c>
      <c r="I26" s="2" t="str">
        <f>IF(_motor!$B$606=0,"",IF(AND(ABS(_motor!$C$606-_motor!$B$668)&lt;=_motor!$B$676+0.000000001,ABS(_motor!$D$606-_motor!$B$668)&lt;=_motor!$B$676+0.000000001),"5 · Pelotón (no concluyente)",IF(AND(_motor!$C$606&gt;=_motor!$B$668,_motor!$D$606&lt;_motor!$B$668),"1 · Entrada / determinante",IF(AND(_motor!$C$606&gt;=_motor!$B$668,_motor!$D$606&gt;=_motor!$B$668),"2 · Intermedia / de enlace",IF(AND(_motor!$C$606&lt;_motor!$B$668,_motor!$D$606&gt;=_motor!$B$668),"3 · Resultado","4 · Excluida / autónoma")))))</f>
        <v/>
      </c>
      <c r="J26" s="2" t="str">
        <f>IF(_motor!$B$606=0,"",IF(AND(ABS(_motor!$C$606-_motor!$B$668)&lt;=_motor!$B$676+0.000000001,ABS(_motor!$D$606-_motor!$B$668)&lt;=_motor!$B$676+0.000000001),"Reguladora",IF(AND(_motor!$C$606&gt;=_motor!$B$668,_motor!$D$606&lt;0.5*_motor!$B$668),"Determinante / entorno",IF(AND(_motor!$C$606&gt;=_motor!$B$668,_motor!$D$606&lt;_motor!$B$668),"Palanca secundaria",IF(AND(_motor!$C$606&gt;=_motor!$B$668,_motor!$D$606&gt;=_motor!$B$668),"Clave / de enlace",IF(AND(_motor!$D$606&gt;=_motor!$B$668,_motor!$C$606&gt;=0.5*_motor!$B$668),"Objetivo",IF(_motor!$D$606&gt;=_motor!$B$668,"Resultado","Autónoma")))))))</f>
        <v/>
      </c>
    </row>
    <row r="27" spans="1:10" x14ac:dyDescent="0.2">
      <c r="A27" s="6" t="str">
        <f>IF(_motor!$B$607=0,"",'02 · Variables'!$B$28)</f>
        <v/>
      </c>
      <c r="B27" s="2" t="str">
        <f>IF(_motor!$B$607=0,"",'02 · Variables'!$C$28)</f>
        <v/>
      </c>
      <c r="C27" s="9" t="str">
        <f>IF(_motor!$B$607=0,"",_motor!$C$607)</f>
        <v/>
      </c>
      <c r="D27" s="9" t="str">
        <f>IF(_motor!$B$607=0,"",_motor!$D$607)</f>
        <v/>
      </c>
      <c r="E27" s="8" t="str">
        <f>IF(OR(_motor!$B$607=0,_motor!$B$672=0),"",_motor!$C$607/_motor!$B$672)</f>
        <v/>
      </c>
      <c r="F27" s="8" t="str">
        <f>IF(OR(_motor!$B$607=0,_motor!$B$672=0),"",_motor!$D$607/_motor!$B$672)</f>
        <v/>
      </c>
      <c r="G27" s="7" t="str">
        <f>IF(_motor!$B$607=0,"",SUMPRODUCT(_motor!$B$586:$B$665*(_motor!$C$586:$C$665&gt;_motor!$C$607))+(SUMPRODUCT(_motor!$B$586:$B$665*(_motor!$C$586:$C$665=_motor!$C$607))+1)/2)</f>
        <v/>
      </c>
      <c r="H27" s="7" t="str">
        <f>IF(_motor!$B$607=0,"",SUMPRODUCT(_motor!$B$586:$B$665*(_motor!$D$586:$D$665&gt;_motor!$D$607))+(SUMPRODUCT(_motor!$B$586:$B$665*(_motor!$D$586:$D$665=_motor!$D$607))+1)/2)</f>
        <v/>
      </c>
      <c r="I27" s="2" t="str">
        <f>IF(_motor!$B$607=0,"",IF(AND(ABS(_motor!$C$607-_motor!$B$668)&lt;=_motor!$B$676+0.000000001,ABS(_motor!$D$607-_motor!$B$668)&lt;=_motor!$B$676+0.000000001),"5 · Pelotón (no concluyente)",IF(AND(_motor!$C$607&gt;=_motor!$B$668,_motor!$D$607&lt;_motor!$B$668),"1 · Entrada / determinante",IF(AND(_motor!$C$607&gt;=_motor!$B$668,_motor!$D$607&gt;=_motor!$B$668),"2 · Intermedia / de enlace",IF(AND(_motor!$C$607&lt;_motor!$B$668,_motor!$D$607&gt;=_motor!$B$668),"3 · Resultado","4 · Excluida / autónoma")))))</f>
        <v/>
      </c>
      <c r="J27" s="2" t="str">
        <f>IF(_motor!$B$607=0,"",IF(AND(ABS(_motor!$C$607-_motor!$B$668)&lt;=_motor!$B$676+0.000000001,ABS(_motor!$D$607-_motor!$B$668)&lt;=_motor!$B$676+0.000000001),"Reguladora",IF(AND(_motor!$C$607&gt;=_motor!$B$668,_motor!$D$607&lt;0.5*_motor!$B$668),"Determinante / entorno",IF(AND(_motor!$C$607&gt;=_motor!$B$668,_motor!$D$607&lt;_motor!$B$668),"Palanca secundaria",IF(AND(_motor!$C$607&gt;=_motor!$B$668,_motor!$D$607&gt;=_motor!$B$668),"Clave / de enlace",IF(AND(_motor!$D$607&gt;=_motor!$B$668,_motor!$C$607&gt;=0.5*_motor!$B$668),"Objetivo",IF(_motor!$D$607&gt;=_motor!$B$668,"Resultado","Autónoma")))))))</f>
        <v/>
      </c>
    </row>
    <row r="28" spans="1:10" x14ac:dyDescent="0.2">
      <c r="A28" s="6" t="str">
        <f>IF(_motor!$B$608=0,"",'02 · Variables'!$B$29)</f>
        <v/>
      </c>
      <c r="B28" s="2" t="str">
        <f>IF(_motor!$B$608=0,"",'02 · Variables'!$C$29)</f>
        <v/>
      </c>
      <c r="C28" s="9" t="str">
        <f>IF(_motor!$B$608=0,"",_motor!$C$608)</f>
        <v/>
      </c>
      <c r="D28" s="9" t="str">
        <f>IF(_motor!$B$608=0,"",_motor!$D$608)</f>
        <v/>
      </c>
      <c r="E28" s="8" t="str">
        <f>IF(OR(_motor!$B$608=0,_motor!$B$672=0),"",_motor!$C$608/_motor!$B$672)</f>
        <v/>
      </c>
      <c r="F28" s="8" t="str">
        <f>IF(OR(_motor!$B$608=0,_motor!$B$672=0),"",_motor!$D$608/_motor!$B$672)</f>
        <v/>
      </c>
      <c r="G28" s="7" t="str">
        <f>IF(_motor!$B$608=0,"",SUMPRODUCT(_motor!$B$586:$B$665*(_motor!$C$586:$C$665&gt;_motor!$C$608))+(SUMPRODUCT(_motor!$B$586:$B$665*(_motor!$C$586:$C$665=_motor!$C$608))+1)/2)</f>
        <v/>
      </c>
      <c r="H28" s="7" t="str">
        <f>IF(_motor!$B$608=0,"",SUMPRODUCT(_motor!$B$586:$B$665*(_motor!$D$586:$D$665&gt;_motor!$D$608))+(SUMPRODUCT(_motor!$B$586:$B$665*(_motor!$D$586:$D$665=_motor!$D$608))+1)/2)</f>
        <v/>
      </c>
      <c r="I28" s="2" t="str">
        <f>IF(_motor!$B$608=0,"",IF(AND(ABS(_motor!$C$608-_motor!$B$668)&lt;=_motor!$B$676+0.000000001,ABS(_motor!$D$608-_motor!$B$668)&lt;=_motor!$B$676+0.000000001),"5 · Pelotón (no concluyente)",IF(AND(_motor!$C$608&gt;=_motor!$B$668,_motor!$D$608&lt;_motor!$B$668),"1 · Entrada / determinante",IF(AND(_motor!$C$608&gt;=_motor!$B$668,_motor!$D$608&gt;=_motor!$B$668),"2 · Intermedia / de enlace",IF(AND(_motor!$C$608&lt;_motor!$B$668,_motor!$D$608&gt;=_motor!$B$668),"3 · Resultado","4 · Excluida / autónoma")))))</f>
        <v/>
      </c>
      <c r="J28" s="2" t="str">
        <f>IF(_motor!$B$608=0,"",IF(AND(ABS(_motor!$C$608-_motor!$B$668)&lt;=_motor!$B$676+0.000000001,ABS(_motor!$D$608-_motor!$B$668)&lt;=_motor!$B$676+0.000000001),"Reguladora",IF(AND(_motor!$C$608&gt;=_motor!$B$668,_motor!$D$608&lt;0.5*_motor!$B$668),"Determinante / entorno",IF(AND(_motor!$C$608&gt;=_motor!$B$668,_motor!$D$608&lt;_motor!$B$668),"Palanca secundaria",IF(AND(_motor!$C$608&gt;=_motor!$B$668,_motor!$D$608&gt;=_motor!$B$668),"Clave / de enlace",IF(AND(_motor!$D$608&gt;=_motor!$B$668,_motor!$C$608&gt;=0.5*_motor!$B$668),"Objetivo",IF(_motor!$D$608&gt;=_motor!$B$668,"Resultado","Autónoma")))))))</f>
        <v/>
      </c>
    </row>
    <row r="29" spans="1:10" x14ac:dyDescent="0.2">
      <c r="A29" s="6" t="str">
        <f>IF(_motor!$B$609=0,"",'02 · Variables'!$B$30)</f>
        <v/>
      </c>
      <c r="B29" s="2" t="str">
        <f>IF(_motor!$B$609=0,"",'02 · Variables'!$C$30)</f>
        <v/>
      </c>
      <c r="C29" s="9" t="str">
        <f>IF(_motor!$B$609=0,"",_motor!$C$609)</f>
        <v/>
      </c>
      <c r="D29" s="9" t="str">
        <f>IF(_motor!$B$609=0,"",_motor!$D$609)</f>
        <v/>
      </c>
      <c r="E29" s="8" t="str">
        <f>IF(OR(_motor!$B$609=0,_motor!$B$672=0),"",_motor!$C$609/_motor!$B$672)</f>
        <v/>
      </c>
      <c r="F29" s="8" t="str">
        <f>IF(OR(_motor!$B$609=0,_motor!$B$672=0),"",_motor!$D$609/_motor!$B$672)</f>
        <v/>
      </c>
      <c r="G29" s="7" t="str">
        <f>IF(_motor!$B$609=0,"",SUMPRODUCT(_motor!$B$586:$B$665*(_motor!$C$586:$C$665&gt;_motor!$C$609))+(SUMPRODUCT(_motor!$B$586:$B$665*(_motor!$C$586:$C$665=_motor!$C$609))+1)/2)</f>
        <v/>
      </c>
      <c r="H29" s="7" t="str">
        <f>IF(_motor!$B$609=0,"",SUMPRODUCT(_motor!$B$586:$B$665*(_motor!$D$586:$D$665&gt;_motor!$D$609))+(SUMPRODUCT(_motor!$B$586:$B$665*(_motor!$D$586:$D$665=_motor!$D$609))+1)/2)</f>
        <v/>
      </c>
      <c r="I29" s="2" t="str">
        <f>IF(_motor!$B$609=0,"",IF(AND(ABS(_motor!$C$609-_motor!$B$668)&lt;=_motor!$B$676+0.000000001,ABS(_motor!$D$609-_motor!$B$668)&lt;=_motor!$B$676+0.000000001),"5 · Pelotón (no concluyente)",IF(AND(_motor!$C$609&gt;=_motor!$B$668,_motor!$D$609&lt;_motor!$B$668),"1 · Entrada / determinante",IF(AND(_motor!$C$609&gt;=_motor!$B$668,_motor!$D$609&gt;=_motor!$B$668),"2 · Intermedia / de enlace",IF(AND(_motor!$C$609&lt;_motor!$B$668,_motor!$D$609&gt;=_motor!$B$668),"3 · Resultado","4 · Excluida / autónoma")))))</f>
        <v/>
      </c>
      <c r="J29" s="2" t="str">
        <f>IF(_motor!$B$609=0,"",IF(AND(ABS(_motor!$C$609-_motor!$B$668)&lt;=_motor!$B$676+0.000000001,ABS(_motor!$D$609-_motor!$B$668)&lt;=_motor!$B$676+0.000000001),"Reguladora",IF(AND(_motor!$C$609&gt;=_motor!$B$668,_motor!$D$609&lt;0.5*_motor!$B$668),"Determinante / entorno",IF(AND(_motor!$C$609&gt;=_motor!$B$668,_motor!$D$609&lt;_motor!$B$668),"Palanca secundaria",IF(AND(_motor!$C$609&gt;=_motor!$B$668,_motor!$D$609&gt;=_motor!$B$668),"Clave / de enlace",IF(AND(_motor!$D$609&gt;=_motor!$B$668,_motor!$C$609&gt;=0.5*_motor!$B$668),"Objetivo",IF(_motor!$D$609&gt;=_motor!$B$668,"Resultado","Autónoma")))))))</f>
        <v/>
      </c>
    </row>
    <row r="30" spans="1:10" x14ac:dyDescent="0.2">
      <c r="A30" s="6" t="str">
        <f>IF(_motor!$B$610=0,"",'02 · Variables'!$B$31)</f>
        <v/>
      </c>
      <c r="B30" s="2" t="str">
        <f>IF(_motor!$B$610=0,"",'02 · Variables'!$C$31)</f>
        <v/>
      </c>
      <c r="C30" s="9" t="str">
        <f>IF(_motor!$B$610=0,"",_motor!$C$610)</f>
        <v/>
      </c>
      <c r="D30" s="9" t="str">
        <f>IF(_motor!$B$610=0,"",_motor!$D$610)</f>
        <v/>
      </c>
      <c r="E30" s="8" t="str">
        <f>IF(OR(_motor!$B$610=0,_motor!$B$672=0),"",_motor!$C$610/_motor!$B$672)</f>
        <v/>
      </c>
      <c r="F30" s="8" t="str">
        <f>IF(OR(_motor!$B$610=0,_motor!$B$672=0),"",_motor!$D$610/_motor!$B$672)</f>
        <v/>
      </c>
      <c r="G30" s="7" t="str">
        <f>IF(_motor!$B$610=0,"",SUMPRODUCT(_motor!$B$586:$B$665*(_motor!$C$586:$C$665&gt;_motor!$C$610))+(SUMPRODUCT(_motor!$B$586:$B$665*(_motor!$C$586:$C$665=_motor!$C$610))+1)/2)</f>
        <v/>
      </c>
      <c r="H30" s="7" t="str">
        <f>IF(_motor!$B$610=0,"",SUMPRODUCT(_motor!$B$586:$B$665*(_motor!$D$586:$D$665&gt;_motor!$D$610))+(SUMPRODUCT(_motor!$B$586:$B$665*(_motor!$D$586:$D$665=_motor!$D$610))+1)/2)</f>
        <v/>
      </c>
      <c r="I30" s="2" t="str">
        <f>IF(_motor!$B$610=0,"",IF(AND(ABS(_motor!$C$610-_motor!$B$668)&lt;=_motor!$B$676+0.000000001,ABS(_motor!$D$610-_motor!$B$668)&lt;=_motor!$B$676+0.000000001),"5 · Pelotón (no concluyente)",IF(AND(_motor!$C$610&gt;=_motor!$B$668,_motor!$D$610&lt;_motor!$B$668),"1 · Entrada / determinante",IF(AND(_motor!$C$610&gt;=_motor!$B$668,_motor!$D$610&gt;=_motor!$B$668),"2 · Intermedia / de enlace",IF(AND(_motor!$C$610&lt;_motor!$B$668,_motor!$D$610&gt;=_motor!$B$668),"3 · Resultado","4 · Excluida / autónoma")))))</f>
        <v/>
      </c>
      <c r="J30" s="2" t="str">
        <f>IF(_motor!$B$610=0,"",IF(AND(ABS(_motor!$C$610-_motor!$B$668)&lt;=_motor!$B$676+0.000000001,ABS(_motor!$D$610-_motor!$B$668)&lt;=_motor!$B$676+0.000000001),"Reguladora",IF(AND(_motor!$C$610&gt;=_motor!$B$668,_motor!$D$610&lt;0.5*_motor!$B$668),"Determinante / entorno",IF(AND(_motor!$C$610&gt;=_motor!$B$668,_motor!$D$610&lt;_motor!$B$668),"Palanca secundaria",IF(AND(_motor!$C$610&gt;=_motor!$B$668,_motor!$D$610&gt;=_motor!$B$668),"Clave / de enlace",IF(AND(_motor!$D$610&gt;=_motor!$B$668,_motor!$C$610&gt;=0.5*_motor!$B$668),"Objetivo",IF(_motor!$D$610&gt;=_motor!$B$668,"Resultado","Autónoma")))))))</f>
        <v/>
      </c>
    </row>
    <row r="31" spans="1:10" x14ac:dyDescent="0.2">
      <c r="A31" s="6" t="str">
        <f>IF(_motor!$B$611=0,"",'02 · Variables'!$B$32)</f>
        <v/>
      </c>
      <c r="B31" s="2" t="str">
        <f>IF(_motor!$B$611=0,"",'02 · Variables'!$C$32)</f>
        <v/>
      </c>
      <c r="C31" s="9" t="str">
        <f>IF(_motor!$B$611=0,"",_motor!$C$611)</f>
        <v/>
      </c>
      <c r="D31" s="9" t="str">
        <f>IF(_motor!$B$611=0,"",_motor!$D$611)</f>
        <v/>
      </c>
      <c r="E31" s="8" t="str">
        <f>IF(OR(_motor!$B$611=0,_motor!$B$672=0),"",_motor!$C$611/_motor!$B$672)</f>
        <v/>
      </c>
      <c r="F31" s="8" t="str">
        <f>IF(OR(_motor!$B$611=0,_motor!$B$672=0),"",_motor!$D$611/_motor!$B$672)</f>
        <v/>
      </c>
      <c r="G31" s="7" t="str">
        <f>IF(_motor!$B$611=0,"",SUMPRODUCT(_motor!$B$586:$B$665*(_motor!$C$586:$C$665&gt;_motor!$C$611))+(SUMPRODUCT(_motor!$B$586:$B$665*(_motor!$C$586:$C$665=_motor!$C$611))+1)/2)</f>
        <v/>
      </c>
      <c r="H31" s="7" t="str">
        <f>IF(_motor!$B$611=0,"",SUMPRODUCT(_motor!$B$586:$B$665*(_motor!$D$586:$D$665&gt;_motor!$D$611))+(SUMPRODUCT(_motor!$B$586:$B$665*(_motor!$D$586:$D$665=_motor!$D$611))+1)/2)</f>
        <v/>
      </c>
      <c r="I31" s="2" t="str">
        <f>IF(_motor!$B$611=0,"",IF(AND(ABS(_motor!$C$611-_motor!$B$668)&lt;=_motor!$B$676+0.000000001,ABS(_motor!$D$611-_motor!$B$668)&lt;=_motor!$B$676+0.000000001),"5 · Pelotón (no concluyente)",IF(AND(_motor!$C$611&gt;=_motor!$B$668,_motor!$D$611&lt;_motor!$B$668),"1 · Entrada / determinante",IF(AND(_motor!$C$611&gt;=_motor!$B$668,_motor!$D$611&gt;=_motor!$B$668),"2 · Intermedia / de enlace",IF(AND(_motor!$C$611&lt;_motor!$B$668,_motor!$D$611&gt;=_motor!$B$668),"3 · Resultado","4 · Excluida / autónoma")))))</f>
        <v/>
      </c>
      <c r="J31" s="2" t="str">
        <f>IF(_motor!$B$611=0,"",IF(AND(ABS(_motor!$C$611-_motor!$B$668)&lt;=_motor!$B$676+0.000000001,ABS(_motor!$D$611-_motor!$B$668)&lt;=_motor!$B$676+0.000000001),"Reguladora",IF(AND(_motor!$C$611&gt;=_motor!$B$668,_motor!$D$611&lt;0.5*_motor!$B$668),"Determinante / entorno",IF(AND(_motor!$C$611&gt;=_motor!$B$668,_motor!$D$611&lt;_motor!$B$668),"Palanca secundaria",IF(AND(_motor!$C$611&gt;=_motor!$B$668,_motor!$D$611&gt;=_motor!$B$668),"Clave / de enlace",IF(AND(_motor!$D$611&gt;=_motor!$B$668,_motor!$C$611&gt;=0.5*_motor!$B$668),"Objetivo",IF(_motor!$D$611&gt;=_motor!$B$668,"Resultado","Autónoma")))))))</f>
        <v/>
      </c>
    </row>
    <row r="32" spans="1:10" x14ac:dyDescent="0.2">
      <c r="A32" s="6" t="str">
        <f>IF(_motor!$B$612=0,"",'02 · Variables'!$B$33)</f>
        <v/>
      </c>
      <c r="B32" s="2" t="str">
        <f>IF(_motor!$B$612=0,"",'02 · Variables'!$C$33)</f>
        <v/>
      </c>
      <c r="C32" s="9" t="str">
        <f>IF(_motor!$B$612=0,"",_motor!$C$612)</f>
        <v/>
      </c>
      <c r="D32" s="9" t="str">
        <f>IF(_motor!$B$612=0,"",_motor!$D$612)</f>
        <v/>
      </c>
      <c r="E32" s="8" t="str">
        <f>IF(OR(_motor!$B$612=0,_motor!$B$672=0),"",_motor!$C$612/_motor!$B$672)</f>
        <v/>
      </c>
      <c r="F32" s="8" t="str">
        <f>IF(OR(_motor!$B$612=0,_motor!$B$672=0),"",_motor!$D$612/_motor!$B$672)</f>
        <v/>
      </c>
      <c r="G32" s="7" t="str">
        <f>IF(_motor!$B$612=0,"",SUMPRODUCT(_motor!$B$586:$B$665*(_motor!$C$586:$C$665&gt;_motor!$C$612))+(SUMPRODUCT(_motor!$B$586:$B$665*(_motor!$C$586:$C$665=_motor!$C$612))+1)/2)</f>
        <v/>
      </c>
      <c r="H32" s="7" t="str">
        <f>IF(_motor!$B$612=0,"",SUMPRODUCT(_motor!$B$586:$B$665*(_motor!$D$586:$D$665&gt;_motor!$D$612))+(SUMPRODUCT(_motor!$B$586:$B$665*(_motor!$D$586:$D$665=_motor!$D$612))+1)/2)</f>
        <v/>
      </c>
      <c r="I32" s="2" t="str">
        <f>IF(_motor!$B$612=0,"",IF(AND(ABS(_motor!$C$612-_motor!$B$668)&lt;=_motor!$B$676+0.000000001,ABS(_motor!$D$612-_motor!$B$668)&lt;=_motor!$B$676+0.000000001),"5 · Pelotón (no concluyente)",IF(AND(_motor!$C$612&gt;=_motor!$B$668,_motor!$D$612&lt;_motor!$B$668),"1 · Entrada / determinante",IF(AND(_motor!$C$612&gt;=_motor!$B$668,_motor!$D$612&gt;=_motor!$B$668),"2 · Intermedia / de enlace",IF(AND(_motor!$C$612&lt;_motor!$B$668,_motor!$D$612&gt;=_motor!$B$668),"3 · Resultado","4 · Excluida / autónoma")))))</f>
        <v/>
      </c>
      <c r="J32" s="2" t="str">
        <f>IF(_motor!$B$612=0,"",IF(AND(ABS(_motor!$C$612-_motor!$B$668)&lt;=_motor!$B$676+0.000000001,ABS(_motor!$D$612-_motor!$B$668)&lt;=_motor!$B$676+0.000000001),"Reguladora",IF(AND(_motor!$C$612&gt;=_motor!$B$668,_motor!$D$612&lt;0.5*_motor!$B$668),"Determinante / entorno",IF(AND(_motor!$C$612&gt;=_motor!$B$668,_motor!$D$612&lt;_motor!$B$668),"Palanca secundaria",IF(AND(_motor!$C$612&gt;=_motor!$B$668,_motor!$D$612&gt;=_motor!$B$668),"Clave / de enlace",IF(AND(_motor!$D$612&gt;=_motor!$B$668,_motor!$C$612&gt;=0.5*_motor!$B$668),"Objetivo",IF(_motor!$D$612&gt;=_motor!$B$668,"Resultado","Autónoma")))))))</f>
        <v/>
      </c>
    </row>
    <row r="33" spans="1:10" x14ac:dyDescent="0.2">
      <c r="A33" s="6" t="str">
        <f>IF(_motor!$B$613=0,"",'02 · Variables'!$B$34)</f>
        <v/>
      </c>
      <c r="B33" s="2" t="str">
        <f>IF(_motor!$B$613=0,"",'02 · Variables'!$C$34)</f>
        <v/>
      </c>
      <c r="C33" s="9" t="str">
        <f>IF(_motor!$B$613=0,"",_motor!$C$613)</f>
        <v/>
      </c>
      <c r="D33" s="9" t="str">
        <f>IF(_motor!$B$613=0,"",_motor!$D$613)</f>
        <v/>
      </c>
      <c r="E33" s="8" t="str">
        <f>IF(OR(_motor!$B$613=0,_motor!$B$672=0),"",_motor!$C$613/_motor!$B$672)</f>
        <v/>
      </c>
      <c r="F33" s="8" t="str">
        <f>IF(OR(_motor!$B$613=0,_motor!$B$672=0),"",_motor!$D$613/_motor!$B$672)</f>
        <v/>
      </c>
      <c r="G33" s="7" t="str">
        <f>IF(_motor!$B$613=0,"",SUMPRODUCT(_motor!$B$586:$B$665*(_motor!$C$586:$C$665&gt;_motor!$C$613))+(SUMPRODUCT(_motor!$B$586:$B$665*(_motor!$C$586:$C$665=_motor!$C$613))+1)/2)</f>
        <v/>
      </c>
      <c r="H33" s="7" t="str">
        <f>IF(_motor!$B$613=0,"",SUMPRODUCT(_motor!$B$586:$B$665*(_motor!$D$586:$D$665&gt;_motor!$D$613))+(SUMPRODUCT(_motor!$B$586:$B$665*(_motor!$D$586:$D$665=_motor!$D$613))+1)/2)</f>
        <v/>
      </c>
      <c r="I33" s="2" t="str">
        <f>IF(_motor!$B$613=0,"",IF(AND(ABS(_motor!$C$613-_motor!$B$668)&lt;=_motor!$B$676+0.000000001,ABS(_motor!$D$613-_motor!$B$668)&lt;=_motor!$B$676+0.000000001),"5 · Pelotón (no concluyente)",IF(AND(_motor!$C$613&gt;=_motor!$B$668,_motor!$D$613&lt;_motor!$B$668),"1 · Entrada / determinante",IF(AND(_motor!$C$613&gt;=_motor!$B$668,_motor!$D$613&gt;=_motor!$B$668),"2 · Intermedia / de enlace",IF(AND(_motor!$C$613&lt;_motor!$B$668,_motor!$D$613&gt;=_motor!$B$668),"3 · Resultado","4 · Excluida / autónoma")))))</f>
        <v/>
      </c>
      <c r="J33" s="2" t="str">
        <f>IF(_motor!$B$613=0,"",IF(AND(ABS(_motor!$C$613-_motor!$B$668)&lt;=_motor!$B$676+0.000000001,ABS(_motor!$D$613-_motor!$B$668)&lt;=_motor!$B$676+0.000000001),"Reguladora",IF(AND(_motor!$C$613&gt;=_motor!$B$668,_motor!$D$613&lt;0.5*_motor!$B$668),"Determinante / entorno",IF(AND(_motor!$C$613&gt;=_motor!$B$668,_motor!$D$613&lt;_motor!$B$668),"Palanca secundaria",IF(AND(_motor!$C$613&gt;=_motor!$B$668,_motor!$D$613&gt;=_motor!$B$668),"Clave / de enlace",IF(AND(_motor!$D$613&gt;=_motor!$B$668,_motor!$C$613&gt;=0.5*_motor!$B$668),"Objetivo",IF(_motor!$D$613&gt;=_motor!$B$668,"Resultado","Autónoma")))))))</f>
        <v/>
      </c>
    </row>
    <row r="34" spans="1:10" x14ac:dyDescent="0.2">
      <c r="A34" s="6" t="str">
        <f>IF(_motor!$B$614=0,"",'02 · Variables'!$B$35)</f>
        <v/>
      </c>
      <c r="B34" s="2" t="str">
        <f>IF(_motor!$B$614=0,"",'02 · Variables'!$C$35)</f>
        <v/>
      </c>
      <c r="C34" s="9" t="str">
        <f>IF(_motor!$B$614=0,"",_motor!$C$614)</f>
        <v/>
      </c>
      <c r="D34" s="9" t="str">
        <f>IF(_motor!$B$614=0,"",_motor!$D$614)</f>
        <v/>
      </c>
      <c r="E34" s="8" t="str">
        <f>IF(OR(_motor!$B$614=0,_motor!$B$672=0),"",_motor!$C$614/_motor!$B$672)</f>
        <v/>
      </c>
      <c r="F34" s="8" t="str">
        <f>IF(OR(_motor!$B$614=0,_motor!$B$672=0),"",_motor!$D$614/_motor!$B$672)</f>
        <v/>
      </c>
      <c r="G34" s="7" t="str">
        <f>IF(_motor!$B$614=0,"",SUMPRODUCT(_motor!$B$586:$B$665*(_motor!$C$586:$C$665&gt;_motor!$C$614))+(SUMPRODUCT(_motor!$B$586:$B$665*(_motor!$C$586:$C$665=_motor!$C$614))+1)/2)</f>
        <v/>
      </c>
      <c r="H34" s="7" t="str">
        <f>IF(_motor!$B$614=0,"",SUMPRODUCT(_motor!$B$586:$B$665*(_motor!$D$586:$D$665&gt;_motor!$D$614))+(SUMPRODUCT(_motor!$B$586:$B$665*(_motor!$D$586:$D$665=_motor!$D$614))+1)/2)</f>
        <v/>
      </c>
      <c r="I34" s="2" t="str">
        <f>IF(_motor!$B$614=0,"",IF(AND(ABS(_motor!$C$614-_motor!$B$668)&lt;=_motor!$B$676+0.000000001,ABS(_motor!$D$614-_motor!$B$668)&lt;=_motor!$B$676+0.000000001),"5 · Pelotón (no concluyente)",IF(AND(_motor!$C$614&gt;=_motor!$B$668,_motor!$D$614&lt;_motor!$B$668),"1 · Entrada / determinante",IF(AND(_motor!$C$614&gt;=_motor!$B$668,_motor!$D$614&gt;=_motor!$B$668),"2 · Intermedia / de enlace",IF(AND(_motor!$C$614&lt;_motor!$B$668,_motor!$D$614&gt;=_motor!$B$668),"3 · Resultado","4 · Excluida / autónoma")))))</f>
        <v/>
      </c>
      <c r="J34" s="2" t="str">
        <f>IF(_motor!$B$614=0,"",IF(AND(ABS(_motor!$C$614-_motor!$B$668)&lt;=_motor!$B$676+0.000000001,ABS(_motor!$D$614-_motor!$B$668)&lt;=_motor!$B$676+0.000000001),"Reguladora",IF(AND(_motor!$C$614&gt;=_motor!$B$668,_motor!$D$614&lt;0.5*_motor!$B$668),"Determinante / entorno",IF(AND(_motor!$C$614&gt;=_motor!$B$668,_motor!$D$614&lt;_motor!$B$668),"Palanca secundaria",IF(AND(_motor!$C$614&gt;=_motor!$B$668,_motor!$D$614&gt;=_motor!$B$668),"Clave / de enlace",IF(AND(_motor!$D$614&gt;=_motor!$B$668,_motor!$C$614&gt;=0.5*_motor!$B$668),"Objetivo",IF(_motor!$D$614&gt;=_motor!$B$668,"Resultado","Autónoma")))))))</f>
        <v/>
      </c>
    </row>
    <row r="35" spans="1:10" x14ac:dyDescent="0.2">
      <c r="A35" s="6" t="str">
        <f>IF(_motor!$B$615=0,"",'02 · Variables'!$B$36)</f>
        <v/>
      </c>
      <c r="B35" s="2" t="str">
        <f>IF(_motor!$B$615=0,"",'02 · Variables'!$C$36)</f>
        <v/>
      </c>
      <c r="C35" s="9" t="str">
        <f>IF(_motor!$B$615=0,"",_motor!$C$615)</f>
        <v/>
      </c>
      <c r="D35" s="9" t="str">
        <f>IF(_motor!$B$615=0,"",_motor!$D$615)</f>
        <v/>
      </c>
      <c r="E35" s="8" t="str">
        <f>IF(OR(_motor!$B$615=0,_motor!$B$672=0),"",_motor!$C$615/_motor!$B$672)</f>
        <v/>
      </c>
      <c r="F35" s="8" t="str">
        <f>IF(OR(_motor!$B$615=0,_motor!$B$672=0),"",_motor!$D$615/_motor!$B$672)</f>
        <v/>
      </c>
      <c r="G35" s="7" t="str">
        <f>IF(_motor!$B$615=0,"",SUMPRODUCT(_motor!$B$586:$B$665*(_motor!$C$586:$C$665&gt;_motor!$C$615))+(SUMPRODUCT(_motor!$B$586:$B$665*(_motor!$C$586:$C$665=_motor!$C$615))+1)/2)</f>
        <v/>
      </c>
      <c r="H35" s="7" t="str">
        <f>IF(_motor!$B$615=0,"",SUMPRODUCT(_motor!$B$586:$B$665*(_motor!$D$586:$D$665&gt;_motor!$D$615))+(SUMPRODUCT(_motor!$B$586:$B$665*(_motor!$D$586:$D$665=_motor!$D$615))+1)/2)</f>
        <v/>
      </c>
      <c r="I35" s="2" t="str">
        <f>IF(_motor!$B$615=0,"",IF(AND(ABS(_motor!$C$615-_motor!$B$668)&lt;=_motor!$B$676+0.000000001,ABS(_motor!$D$615-_motor!$B$668)&lt;=_motor!$B$676+0.000000001),"5 · Pelotón (no concluyente)",IF(AND(_motor!$C$615&gt;=_motor!$B$668,_motor!$D$615&lt;_motor!$B$668),"1 · Entrada / determinante",IF(AND(_motor!$C$615&gt;=_motor!$B$668,_motor!$D$615&gt;=_motor!$B$668),"2 · Intermedia / de enlace",IF(AND(_motor!$C$615&lt;_motor!$B$668,_motor!$D$615&gt;=_motor!$B$668),"3 · Resultado","4 · Excluida / autónoma")))))</f>
        <v/>
      </c>
      <c r="J35" s="2" t="str">
        <f>IF(_motor!$B$615=0,"",IF(AND(ABS(_motor!$C$615-_motor!$B$668)&lt;=_motor!$B$676+0.000000001,ABS(_motor!$D$615-_motor!$B$668)&lt;=_motor!$B$676+0.000000001),"Reguladora",IF(AND(_motor!$C$615&gt;=_motor!$B$668,_motor!$D$615&lt;0.5*_motor!$B$668),"Determinante / entorno",IF(AND(_motor!$C$615&gt;=_motor!$B$668,_motor!$D$615&lt;_motor!$B$668),"Palanca secundaria",IF(AND(_motor!$C$615&gt;=_motor!$B$668,_motor!$D$615&gt;=_motor!$B$668),"Clave / de enlace",IF(AND(_motor!$D$615&gt;=_motor!$B$668,_motor!$C$615&gt;=0.5*_motor!$B$668),"Objetivo",IF(_motor!$D$615&gt;=_motor!$B$668,"Resultado","Autónoma")))))))</f>
        <v/>
      </c>
    </row>
    <row r="36" spans="1:10" x14ac:dyDescent="0.2">
      <c r="A36" s="6" t="str">
        <f>IF(_motor!$B$616=0,"",'02 · Variables'!$B$37)</f>
        <v/>
      </c>
      <c r="B36" s="2" t="str">
        <f>IF(_motor!$B$616=0,"",'02 · Variables'!$C$37)</f>
        <v/>
      </c>
      <c r="C36" s="9" t="str">
        <f>IF(_motor!$B$616=0,"",_motor!$C$616)</f>
        <v/>
      </c>
      <c r="D36" s="9" t="str">
        <f>IF(_motor!$B$616=0,"",_motor!$D$616)</f>
        <v/>
      </c>
      <c r="E36" s="8" t="str">
        <f>IF(OR(_motor!$B$616=0,_motor!$B$672=0),"",_motor!$C$616/_motor!$B$672)</f>
        <v/>
      </c>
      <c r="F36" s="8" t="str">
        <f>IF(OR(_motor!$B$616=0,_motor!$B$672=0),"",_motor!$D$616/_motor!$B$672)</f>
        <v/>
      </c>
      <c r="G36" s="7" t="str">
        <f>IF(_motor!$B$616=0,"",SUMPRODUCT(_motor!$B$586:$B$665*(_motor!$C$586:$C$665&gt;_motor!$C$616))+(SUMPRODUCT(_motor!$B$586:$B$665*(_motor!$C$586:$C$665=_motor!$C$616))+1)/2)</f>
        <v/>
      </c>
      <c r="H36" s="7" t="str">
        <f>IF(_motor!$B$616=0,"",SUMPRODUCT(_motor!$B$586:$B$665*(_motor!$D$586:$D$665&gt;_motor!$D$616))+(SUMPRODUCT(_motor!$B$586:$B$665*(_motor!$D$586:$D$665=_motor!$D$616))+1)/2)</f>
        <v/>
      </c>
      <c r="I36" s="2" t="str">
        <f>IF(_motor!$B$616=0,"",IF(AND(ABS(_motor!$C$616-_motor!$B$668)&lt;=_motor!$B$676+0.000000001,ABS(_motor!$D$616-_motor!$B$668)&lt;=_motor!$B$676+0.000000001),"5 · Pelotón (no concluyente)",IF(AND(_motor!$C$616&gt;=_motor!$B$668,_motor!$D$616&lt;_motor!$B$668),"1 · Entrada / determinante",IF(AND(_motor!$C$616&gt;=_motor!$B$668,_motor!$D$616&gt;=_motor!$B$668),"2 · Intermedia / de enlace",IF(AND(_motor!$C$616&lt;_motor!$B$668,_motor!$D$616&gt;=_motor!$B$668),"3 · Resultado","4 · Excluida / autónoma")))))</f>
        <v/>
      </c>
      <c r="J36" s="2" t="str">
        <f>IF(_motor!$B$616=0,"",IF(AND(ABS(_motor!$C$616-_motor!$B$668)&lt;=_motor!$B$676+0.000000001,ABS(_motor!$D$616-_motor!$B$668)&lt;=_motor!$B$676+0.000000001),"Reguladora",IF(AND(_motor!$C$616&gt;=_motor!$B$668,_motor!$D$616&lt;0.5*_motor!$B$668),"Determinante / entorno",IF(AND(_motor!$C$616&gt;=_motor!$B$668,_motor!$D$616&lt;_motor!$B$668),"Palanca secundaria",IF(AND(_motor!$C$616&gt;=_motor!$B$668,_motor!$D$616&gt;=_motor!$B$668),"Clave / de enlace",IF(AND(_motor!$D$616&gt;=_motor!$B$668,_motor!$C$616&gt;=0.5*_motor!$B$668),"Objetivo",IF(_motor!$D$616&gt;=_motor!$B$668,"Resultado","Autónoma")))))))</f>
        <v/>
      </c>
    </row>
    <row r="37" spans="1:10" x14ac:dyDescent="0.2">
      <c r="A37" s="6" t="str">
        <f>IF(_motor!$B$617=0,"",'02 · Variables'!$B$38)</f>
        <v/>
      </c>
      <c r="B37" s="2" t="str">
        <f>IF(_motor!$B$617=0,"",'02 · Variables'!$C$38)</f>
        <v/>
      </c>
      <c r="C37" s="9" t="str">
        <f>IF(_motor!$B$617=0,"",_motor!$C$617)</f>
        <v/>
      </c>
      <c r="D37" s="9" t="str">
        <f>IF(_motor!$B$617=0,"",_motor!$D$617)</f>
        <v/>
      </c>
      <c r="E37" s="8" t="str">
        <f>IF(OR(_motor!$B$617=0,_motor!$B$672=0),"",_motor!$C$617/_motor!$B$672)</f>
        <v/>
      </c>
      <c r="F37" s="8" t="str">
        <f>IF(OR(_motor!$B$617=0,_motor!$B$672=0),"",_motor!$D$617/_motor!$B$672)</f>
        <v/>
      </c>
      <c r="G37" s="7" t="str">
        <f>IF(_motor!$B$617=0,"",SUMPRODUCT(_motor!$B$586:$B$665*(_motor!$C$586:$C$665&gt;_motor!$C$617))+(SUMPRODUCT(_motor!$B$586:$B$665*(_motor!$C$586:$C$665=_motor!$C$617))+1)/2)</f>
        <v/>
      </c>
      <c r="H37" s="7" t="str">
        <f>IF(_motor!$B$617=0,"",SUMPRODUCT(_motor!$B$586:$B$665*(_motor!$D$586:$D$665&gt;_motor!$D$617))+(SUMPRODUCT(_motor!$B$586:$B$665*(_motor!$D$586:$D$665=_motor!$D$617))+1)/2)</f>
        <v/>
      </c>
      <c r="I37" s="2" t="str">
        <f>IF(_motor!$B$617=0,"",IF(AND(ABS(_motor!$C$617-_motor!$B$668)&lt;=_motor!$B$676+0.000000001,ABS(_motor!$D$617-_motor!$B$668)&lt;=_motor!$B$676+0.000000001),"5 · Pelotón (no concluyente)",IF(AND(_motor!$C$617&gt;=_motor!$B$668,_motor!$D$617&lt;_motor!$B$668),"1 · Entrada / determinante",IF(AND(_motor!$C$617&gt;=_motor!$B$668,_motor!$D$617&gt;=_motor!$B$668),"2 · Intermedia / de enlace",IF(AND(_motor!$C$617&lt;_motor!$B$668,_motor!$D$617&gt;=_motor!$B$668),"3 · Resultado","4 · Excluida / autónoma")))))</f>
        <v/>
      </c>
      <c r="J37" s="2" t="str">
        <f>IF(_motor!$B$617=0,"",IF(AND(ABS(_motor!$C$617-_motor!$B$668)&lt;=_motor!$B$676+0.000000001,ABS(_motor!$D$617-_motor!$B$668)&lt;=_motor!$B$676+0.000000001),"Reguladora",IF(AND(_motor!$C$617&gt;=_motor!$B$668,_motor!$D$617&lt;0.5*_motor!$B$668),"Determinante / entorno",IF(AND(_motor!$C$617&gt;=_motor!$B$668,_motor!$D$617&lt;_motor!$B$668),"Palanca secundaria",IF(AND(_motor!$C$617&gt;=_motor!$B$668,_motor!$D$617&gt;=_motor!$B$668),"Clave / de enlace",IF(AND(_motor!$D$617&gt;=_motor!$B$668,_motor!$C$617&gt;=0.5*_motor!$B$668),"Objetivo",IF(_motor!$D$617&gt;=_motor!$B$668,"Resultado","Autónoma")))))))</f>
        <v/>
      </c>
    </row>
    <row r="38" spans="1:10" x14ac:dyDescent="0.2">
      <c r="A38" s="6" t="str">
        <f>IF(_motor!$B$618=0,"",'02 · Variables'!$B$39)</f>
        <v/>
      </c>
      <c r="B38" s="2" t="str">
        <f>IF(_motor!$B$618=0,"",'02 · Variables'!$C$39)</f>
        <v/>
      </c>
      <c r="C38" s="9" t="str">
        <f>IF(_motor!$B$618=0,"",_motor!$C$618)</f>
        <v/>
      </c>
      <c r="D38" s="9" t="str">
        <f>IF(_motor!$B$618=0,"",_motor!$D$618)</f>
        <v/>
      </c>
      <c r="E38" s="8" t="str">
        <f>IF(OR(_motor!$B$618=0,_motor!$B$672=0),"",_motor!$C$618/_motor!$B$672)</f>
        <v/>
      </c>
      <c r="F38" s="8" t="str">
        <f>IF(OR(_motor!$B$618=0,_motor!$B$672=0),"",_motor!$D$618/_motor!$B$672)</f>
        <v/>
      </c>
      <c r="G38" s="7" t="str">
        <f>IF(_motor!$B$618=0,"",SUMPRODUCT(_motor!$B$586:$B$665*(_motor!$C$586:$C$665&gt;_motor!$C$618))+(SUMPRODUCT(_motor!$B$586:$B$665*(_motor!$C$586:$C$665=_motor!$C$618))+1)/2)</f>
        <v/>
      </c>
      <c r="H38" s="7" t="str">
        <f>IF(_motor!$B$618=0,"",SUMPRODUCT(_motor!$B$586:$B$665*(_motor!$D$586:$D$665&gt;_motor!$D$618))+(SUMPRODUCT(_motor!$B$586:$B$665*(_motor!$D$586:$D$665=_motor!$D$618))+1)/2)</f>
        <v/>
      </c>
      <c r="I38" s="2" t="str">
        <f>IF(_motor!$B$618=0,"",IF(AND(ABS(_motor!$C$618-_motor!$B$668)&lt;=_motor!$B$676+0.000000001,ABS(_motor!$D$618-_motor!$B$668)&lt;=_motor!$B$676+0.000000001),"5 · Pelotón (no concluyente)",IF(AND(_motor!$C$618&gt;=_motor!$B$668,_motor!$D$618&lt;_motor!$B$668),"1 · Entrada / determinante",IF(AND(_motor!$C$618&gt;=_motor!$B$668,_motor!$D$618&gt;=_motor!$B$668),"2 · Intermedia / de enlace",IF(AND(_motor!$C$618&lt;_motor!$B$668,_motor!$D$618&gt;=_motor!$B$668),"3 · Resultado","4 · Excluida / autónoma")))))</f>
        <v/>
      </c>
      <c r="J38" s="2" t="str">
        <f>IF(_motor!$B$618=0,"",IF(AND(ABS(_motor!$C$618-_motor!$B$668)&lt;=_motor!$B$676+0.000000001,ABS(_motor!$D$618-_motor!$B$668)&lt;=_motor!$B$676+0.000000001),"Reguladora",IF(AND(_motor!$C$618&gt;=_motor!$B$668,_motor!$D$618&lt;0.5*_motor!$B$668),"Determinante / entorno",IF(AND(_motor!$C$618&gt;=_motor!$B$668,_motor!$D$618&lt;_motor!$B$668),"Palanca secundaria",IF(AND(_motor!$C$618&gt;=_motor!$B$668,_motor!$D$618&gt;=_motor!$B$668),"Clave / de enlace",IF(AND(_motor!$D$618&gt;=_motor!$B$668,_motor!$C$618&gt;=0.5*_motor!$B$668),"Objetivo",IF(_motor!$D$618&gt;=_motor!$B$668,"Resultado","Autónoma")))))))</f>
        <v/>
      </c>
    </row>
    <row r="39" spans="1:10" x14ac:dyDescent="0.2">
      <c r="A39" s="6" t="str">
        <f>IF(_motor!$B$619=0,"",'02 · Variables'!$B$40)</f>
        <v/>
      </c>
      <c r="B39" s="2" t="str">
        <f>IF(_motor!$B$619=0,"",'02 · Variables'!$C$40)</f>
        <v/>
      </c>
      <c r="C39" s="9" t="str">
        <f>IF(_motor!$B$619=0,"",_motor!$C$619)</f>
        <v/>
      </c>
      <c r="D39" s="9" t="str">
        <f>IF(_motor!$B$619=0,"",_motor!$D$619)</f>
        <v/>
      </c>
      <c r="E39" s="8" t="str">
        <f>IF(OR(_motor!$B$619=0,_motor!$B$672=0),"",_motor!$C$619/_motor!$B$672)</f>
        <v/>
      </c>
      <c r="F39" s="8" t="str">
        <f>IF(OR(_motor!$B$619=0,_motor!$B$672=0),"",_motor!$D$619/_motor!$B$672)</f>
        <v/>
      </c>
      <c r="G39" s="7" t="str">
        <f>IF(_motor!$B$619=0,"",SUMPRODUCT(_motor!$B$586:$B$665*(_motor!$C$586:$C$665&gt;_motor!$C$619))+(SUMPRODUCT(_motor!$B$586:$B$665*(_motor!$C$586:$C$665=_motor!$C$619))+1)/2)</f>
        <v/>
      </c>
      <c r="H39" s="7" t="str">
        <f>IF(_motor!$B$619=0,"",SUMPRODUCT(_motor!$B$586:$B$665*(_motor!$D$586:$D$665&gt;_motor!$D$619))+(SUMPRODUCT(_motor!$B$586:$B$665*(_motor!$D$586:$D$665=_motor!$D$619))+1)/2)</f>
        <v/>
      </c>
      <c r="I39" s="2" t="str">
        <f>IF(_motor!$B$619=0,"",IF(AND(ABS(_motor!$C$619-_motor!$B$668)&lt;=_motor!$B$676+0.000000001,ABS(_motor!$D$619-_motor!$B$668)&lt;=_motor!$B$676+0.000000001),"5 · Pelotón (no concluyente)",IF(AND(_motor!$C$619&gt;=_motor!$B$668,_motor!$D$619&lt;_motor!$B$668),"1 · Entrada / determinante",IF(AND(_motor!$C$619&gt;=_motor!$B$668,_motor!$D$619&gt;=_motor!$B$668),"2 · Intermedia / de enlace",IF(AND(_motor!$C$619&lt;_motor!$B$668,_motor!$D$619&gt;=_motor!$B$668),"3 · Resultado","4 · Excluida / autónoma")))))</f>
        <v/>
      </c>
      <c r="J39" s="2" t="str">
        <f>IF(_motor!$B$619=0,"",IF(AND(ABS(_motor!$C$619-_motor!$B$668)&lt;=_motor!$B$676+0.000000001,ABS(_motor!$D$619-_motor!$B$668)&lt;=_motor!$B$676+0.000000001),"Reguladora",IF(AND(_motor!$C$619&gt;=_motor!$B$668,_motor!$D$619&lt;0.5*_motor!$B$668),"Determinante / entorno",IF(AND(_motor!$C$619&gt;=_motor!$B$668,_motor!$D$619&lt;_motor!$B$668),"Palanca secundaria",IF(AND(_motor!$C$619&gt;=_motor!$B$668,_motor!$D$619&gt;=_motor!$B$668),"Clave / de enlace",IF(AND(_motor!$D$619&gt;=_motor!$B$668,_motor!$C$619&gt;=0.5*_motor!$B$668),"Objetivo",IF(_motor!$D$619&gt;=_motor!$B$668,"Resultado","Autónoma")))))))</f>
        <v/>
      </c>
    </row>
    <row r="40" spans="1:10" x14ac:dyDescent="0.2">
      <c r="A40" s="6" t="str">
        <f>IF(_motor!$B$620=0,"",'02 · Variables'!$B$41)</f>
        <v/>
      </c>
      <c r="B40" s="2" t="str">
        <f>IF(_motor!$B$620=0,"",'02 · Variables'!$C$41)</f>
        <v/>
      </c>
      <c r="C40" s="9" t="str">
        <f>IF(_motor!$B$620=0,"",_motor!$C$620)</f>
        <v/>
      </c>
      <c r="D40" s="9" t="str">
        <f>IF(_motor!$B$620=0,"",_motor!$D$620)</f>
        <v/>
      </c>
      <c r="E40" s="8" t="str">
        <f>IF(OR(_motor!$B$620=0,_motor!$B$672=0),"",_motor!$C$620/_motor!$B$672)</f>
        <v/>
      </c>
      <c r="F40" s="8" t="str">
        <f>IF(OR(_motor!$B$620=0,_motor!$B$672=0),"",_motor!$D$620/_motor!$B$672)</f>
        <v/>
      </c>
      <c r="G40" s="7" t="str">
        <f>IF(_motor!$B$620=0,"",SUMPRODUCT(_motor!$B$586:$B$665*(_motor!$C$586:$C$665&gt;_motor!$C$620))+(SUMPRODUCT(_motor!$B$586:$B$665*(_motor!$C$586:$C$665=_motor!$C$620))+1)/2)</f>
        <v/>
      </c>
      <c r="H40" s="7" t="str">
        <f>IF(_motor!$B$620=0,"",SUMPRODUCT(_motor!$B$586:$B$665*(_motor!$D$586:$D$665&gt;_motor!$D$620))+(SUMPRODUCT(_motor!$B$586:$B$665*(_motor!$D$586:$D$665=_motor!$D$620))+1)/2)</f>
        <v/>
      </c>
      <c r="I40" s="2" t="str">
        <f>IF(_motor!$B$620=0,"",IF(AND(ABS(_motor!$C$620-_motor!$B$668)&lt;=_motor!$B$676+0.000000001,ABS(_motor!$D$620-_motor!$B$668)&lt;=_motor!$B$676+0.000000001),"5 · Pelotón (no concluyente)",IF(AND(_motor!$C$620&gt;=_motor!$B$668,_motor!$D$620&lt;_motor!$B$668),"1 · Entrada / determinante",IF(AND(_motor!$C$620&gt;=_motor!$B$668,_motor!$D$620&gt;=_motor!$B$668),"2 · Intermedia / de enlace",IF(AND(_motor!$C$620&lt;_motor!$B$668,_motor!$D$620&gt;=_motor!$B$668),"3 · Resultado","4 · Excluida / autónoma")))))</f>
        <v/>
      </c>
      <c r="J40" s="2" t="str">
        <f>IF(_motor!$B$620=0,"",IF(AND(ABS(_motor!$C$620-_motor!$B$668)&lt;=_motor!$B$676+0.000000001,ABS(_motor!$D$620-_motor!$B$668)&lt;=_motor!$B$676+0.000000001),"Reguladora",IF(AND(_motor!$C$620&gt;=_motor!$B$668,_motor!$D$620&lt;0.5*_motor!$B$668),"Determinante / entorno",IF(AND(_motor!$C$620&gt;=_motor!$B$668,_motor!$D$620&lt;_motor!$B$668),"Palanca secundaria",IF(AND(_motor!$C$620&gt;=_motor!$B$668,_motor!$D$620&gt;=_motor!$B$668),"Clave / de enlace",IF(AND(_motor!$D$620&gt;=_motor!$B$668,_motor!$C$620&gt;=0.5*_motor!$B$668),"Objetivo",IF(_motor!$D$620&gt;=_motor!$B$668,"Resultado","Autónoma")))))))</f>
        <v/>
      </c>
    </row>
    <row r="41" spans="1:10" x14ac:dyDescent="0.2">
      <c r="A41" s="6" t="str">
        <f>IF(_motor!$B$621=0,"",'02 · Variables'!$B$42)</f>
        <v/>
      </c>
      <c r="B41" s="2" t="str">
        <f>IF(_motor!$B$621=0,"",'02 · Variables'!$C$42)</f>
        <v/>
      </c>
      <c r="C41" s="9" t="str">
        <f>IF(_motor!$B$621=0,"",_motor!$C$621)</f>
        <v/>
      </c>
      <c r="D41" s="9" t="str">
        <f>IF(_motor!$B$621=0,"",_motor!$D$621)</f>
        <v/>
      </c>
      <c r="E41" s="8" t="str">
        <f>IF(OR(_motor!$B$621=0,_motor!$B$672=0),"",_motor!$C$621/_motor!$B$672)</f>
        <v/>
      </c>
      <c r="F41" s="8" t="str">
        <f>IF(OR(_motor!$B$621=0,_motor!$B$672=0),"",_motor!$D$621/_motor!$B$672)</f>
        <v/>
      </c>
      <c r="G41" s="7" t="str">
        <f>IF(_motor!$B$621=0,"",SUMPRODUCT(_motor!$B$586:$B$665*(_motor!$C$586:$C$665&gt;_motor!$C$621))+(SUMPRODUCT(_motor!$B$586:$B$665*(_motor!$C$586:$C$665=_motor!$C$621))+1)/2)</f>
        <v/>
      </c>
      <c r="H41" s="7" t="str">
        <f>IF(_motor!$B$621=0,"",SUMPRODUCT(_motor!$B$586:$B$665*(_motor!$D$586:$D$665&gt;_motor!$D$621))+(SUMPRODUCT(_motor!$B$586:$B$665*(_motor!$D$586:$D$665=_motor!$D$621))+1)/2)</f>
        <v/>
      </c>
      <c r="I41" s="2" t="str">
        <f>IF(_motor!$B$621=0,"",IF(AND(ABS(_motor!$C$621-_motor!$B$668)&lt;=_motor!$B$676+0.000000001,ABS(_motor!$D$621-_motor!$B$668)&lt;=_motor!$B$676+0.000000001),"5 · Pelotón (no concluyente)",IF(AND(_motor!$C$621&gt;=_motor!$B$668,_motor!$D$621&lt;_motor!$B$668),"1 · Entrada / determinante",IF(AND(_motor!$C$621&gt;=_motor!$B$668,_motor!$D$621&gt;=_motor!$B$668),"2 · Intermedia / de enlace",IF(AND(_motor!$C$621&lt;_motor!$B$668,_motor!$D$621&gt;=_motor!$B$668),"3 · Resultado","4 · Excluida / autónoma")))))</f>
        <v/>
      </c>
      <c r="J41" s="2" t="str">
        <f>IF(_motor!$B$621=0,"",IF(AND(ABS(_motor!$C$621-_motor!$B$668)&lt;=_motor!$B$676+0.000000001,ABS(_motor!$D$621-_motor!$B$668)&lt;=_motor!$B$676+0.000000001),"Reguladora",IF(AND(_motor!$C$621&gt;=_motor!$B$668,_motor!$D$621&lt;0.5*_motor!$B$668),"Determinante / entorno",IF(AND(_motor!$C$621&gt;=_motor!$B$668,_motor!$D$621&lt;_motor!$B$668),"Palanca secundaria",IF(AND(_motor!$C$621&gt;=_motor!$B$668,_motor!$D$621&gt;=_motor!$B$668),"Clave / de enlace",IF(AND(_motor!$D$621&gt;=_motor!$B$668,_motor!$C$621&gt;=0.5*_motor!$B$668),"Objetivo",IF(_motor!$D$621&gt;=_motor!$B$668,"Resultado","Autónoma")))))))</f>
        <v/>
      </c>
    </row>
    <row r="42" spans="1:10" x14ac:dyDescent="0.2">
      <c r="A42" s="6" t="str">
        <f>IF(_motor!$B$622=0,"",'02 · Variables'!$B$43)</f>
        <v/>
      </c>
      <c r="B42" s="2" t="str">
        <f>IF(_motor!$B$622=0,"",'02 · Variables'!$C$43)</f>
        <v/>
      </c>
      <c r="C42" s="9" t="str">
        <f>IF(_motor!$B$622=0,"",_motor!$C$622)</f>
        <v/>
      </c>
      <c r="D42" s="9" t="str">
        <f>IF(_motor!$B$622=0,"",_motor!$D$622)</f>
        <v/>
      </c>
      <c r="E42" s="8" t="str">
        <f>IF(OR(_motor!$B$622=0,_motor!$B$672=0),"",_motor!$C$622/_motor!$B$672)</f>
        <v/>
      </c>
      <c r="F42" s="8" t="str">
        <f>IF(OR(_motor!$B$622=0,_motor!$B$672=0),"",_motor!$D$622/_motor!$B$672)</f>
        <v/>
      </c>
      <c r="G42" s="7" t="str">
        <f>IF(_motor!$B$622=0,"",SUMPRODUCT(_motor!$B$586:$B$665*(_motor!$C$586:$C$665&gt;_motor!$C$622))+(SUMPRODUCT(_motor!$B$586:$B$665*(_motor!$C$586:$C$665=_motor!$C$622))+1)/2)</f>
        <v/>
      </c>
      <c r="H42" s="7" t="str">
        <f>IF(_motor!$B$622=0,"",SUMPRODUCT(_motor!$B$586:$B$665*(_motor!$D$586:$D$665&gt;_motor!$D$622))+(SUMPRODUCT(_motor!$B$586:$B$665*(_motor!$D$586:$D$665=_motor!$D$622))+1)/2)</f>
        <v/>
      </c>
      <c r="I42" s="2" t="str">
        <f>IF(_motor!$B$622=0,"",IF(AND(ABS(_motor!$C$622-_motor!$B$668)&lt;=_motor!$B$676+0.000000001,ABS(_motor!$D$622-_motor!$B$668)&lt;=_motor!$B$676+0.000000001),"5 · Pelotón (no concluyente)",IF(AND(_motor!$C$622&gt;=_motor!$B$668,_motor!$D$622&lt;_motor!$B$668),"1 · Entrada / determinante",IF(AND(_motor!$C$622&gt;=_motor!$B$668,_motor!$D$622&gt;=_motor!$B$668),"2 · Intermedia / de enlace",IF(AND(_motor!$C$622&lt;_motor!$B$668,_motor!$D$622&gt;=_motor!$B$668),"3 · Resultado","4 · Excluida / autónoma")))))</f>
        <v/>
      </c>
      <c r="J42" s="2" t="str">
        <f>IF(_motor!$B$622=0,"",IF(AND(ABS(_motor!$C$622-_motor!$B$668)&lt;=_motor!$B$676+0.000000001,ABS(_motor!$D$622-_motor!$B$668)&lt;=_motor!$B$676+0.000000001),"Reguladora",IF(AND(_motor!$C$622&gt;=_motor!$B$668,_motor!$D$622&lt;0.5*_motor!$B$668),"Determinante / entorno",IF(AND(_motor!$C$622&gt;=_motor!$B$668,_motor!$D$622&lt;_motor!$B$668),"Palanca secundaria",IF(AND(_motor!$C$622&gt;=_motor!$B$668,_motor!$D$622&gt;=_motor!$B$668),"Clave / de enlace",IF(AND(_motor!$D$622&gt;=_motor!$B$668,_motor!$C$622&gt;=0.5*_motor!$B$668),"Objetivo",IF(_motor!$D$622&gt;=_motor!$B$668,"Resultado","Autónoma")))))))</f>
        <v/>
      </c>
    </row>
    <row r="43" spans="1:10" x14ac:dyDescent="0.2">
      <c r="A43" s="6" t="str">
        <f>IF(_motor!$B$623=0,"",'02 · Variables'!$B$44)</f>
        <v/>
      </c>
      <c r="B43" s="2" t="str">
        <f>IF(_motor!$B$623=0,"",'02 · Variables'!$C$44)</f>
        <v/>
      </c>
      <c r="C43" s="9" t="str">
        <f>IF(_motor!$B$623=0,"",_motor!$C$623)</f>
        <v/>
      </c>
      <c r="D43" s="9" t="str">
        <f>IF(_motor!$B$623=0,"",_motor!$D$623)</f>
        <v/>
      </c>
      <c r="E43" s="8" t="str">
        <f>IF(OR(_motor!$B$623=0,_motor!$B$672=0),"",_motor!$C$623/_motor!$B$672)</f>
        <v/>
      </c>
      <c r="F43" s="8" t="str">
        <f>IF(OR(_motor!$B$623=0,_motor!$B$672=0),"",_motor!$D$623/_motor!$B$672)</f>
        <v/>
      </c>
      <c r="G43" s="7" t="str">
        <f>IF(_motor!$B$623=0,"",SUMPRODUCT(_motor!$B$586:$B$665*(_motor!$C$586:$C$665&gt;_motor!$C$623))+(SUMPRODUCT(_motor!$B$586:$B$665*(_motor!$C$586:$C$665=_motor!$C$623))+1)/2)</f>
        <v/>
      </c>
      <c r="H43" s="7" t="str">
        <f>IF(_motor!$B$623=0,"",SUMPRODUCT(_motor!$B$586:$B$665*(_motor!$D$586:$D$665&gt;_motor!$D$623))+(SUMPRODUCT(_motor!$B$586:$B$665*(_motor!$D$586:$D$665=_motor!$D$623))+1)/2)</f>
        <v/>
      </c>
      <c r="I43" s="2" t="str">
        <f>IF(_motor!$B$623=0,"",IF(AND(ABS(_motor!$C$623-_motor!$B$668)&lt;=_motor!$B$676+0.000000001,ABS(_motor!$D$623-_motor!$B$668)&lt;=_motor!$B$676+0.000000001),"5 · Pelotón (no concluyente)",IF(AND(_motor!$C$623&gt;=_motor!$B$668,_motor!$D$623&lt;_motor!$B$668),"1 · Entrada / determinante",IF(AND(_motor!$C$623&gt;=_motor!$B$668,_motor!$D$623&gt;=_motor!$B$668),"2 · Intermedia / de enlace",IF(AND(_motor!$C$623&lt;_motor!$B$668,_motor!$D$623&gt;=_motor!$B$668),"3 · Resultado","4 · Excluida / autónoma")))))</f>
        <v/>
      </c>
      <c r="J43" s="2" t="str">
        <f>IF(_motor!$B$623=0,"",IF(AND(ABS(_motor!$C$623-_motor!$B$668)&lt;=_motor!$B$676+0.000000001,ABS(_motor!$D$623-_motor!$B$668)&lt;=_motor!$B$676+0.000000001),"Reguladora",IF(AND(_motor!$C$623&gt;=_motor!$B$668,_motor!$D$623&lt;0.5*_motor!$B$668),"Determinante / entorno",IF(AND(_motor!$C$623&gt;=_motor!$B$668,_motor!$D$623&lt;_motor!$B$668),"Palanca secundaria",IF(AND(_motor!$C$623&gt;=_motor!$B$668,_motor!$D$623&gt;=_motor!$B$668),"Clave / de enlace",IF(AND(_motor!$D$623&gt;=_motor!$B$668,_motor!$C$623&gt;=0.5*_motor!$B$668),"Objetivo",IF(_motor!$D$623&gt;=_motor!$B$668,"Resultado","Autónoma")))))))</f>
        <v/>
      </c>
    </row>
    <row r="44" spans="1:10" x14ac:dyDescent="0.2">
      <c r="A44" s="6" t="str">
        <f>IF(_motor!$B$624=0,"",'02 · Variables'!$B$45)</f>
        <v/>
      </c>
      <c r="B44" s="2" t="str">
        <f>IF(_motor!$B$624=0,"",'02 · Variables'!$C$45)</f>
        <v/>
      </c>
      <c r="C44" s="9" t="str">
        <f>IF(_motor!$B$624=0,"",_motor!$C$624)</f>
        <v/>
      </c>
      <c r="D44" s="9" t="str">
        <f>IF(_motor!$B$624=0,"",_motor!$D$624)</f>
        <v/>
      </c>
      <c r="E44" s="8" t="str">
        <f>IF(OR(_motor!$B$624=0,_motor!$B$672=0),"",_motor!$C$624/_motor!$B$672)</f>
        <v/>
      </c>
      <c r="F44" s="8" t="str">
        <f>IF(OR(_motor!$B$624=0,_motor!$B$672=0),"",_motor!$D$624/_motor!$B$672)</f>
        <v/>
      </c>
      <c r="G44" s="7" t="str">
        <f>IF(_motor!$B$624=0,"",SUMPRODUCT(_motor!$B$586:$B$665*(_motor!$C$586:$C$665&gt;_motor!$C$624))+(SUMPRODUCT(_motor!$B$586:$B$665*(_motor!$C$586:$C$665=_motor!$C$624))+1)/2)</f>
        <v/>
      </c>
      <c r="H44" s="7" t="str">
        <f>IF(_motor!$B$624=0,"",SUMPRODUCT(_motor!$B$586:$B$665*(_motor!$D$586:$D$665&gt;_motor!$D$624))+(SUMPRODUCT(_motor!$B$586:$B$665*(_motor!$D$586:$D$665=_motor!$D$624))+1)/2)</f>
        <v/>
      </c>
      <c r="I44" s="2" t="str">
        <f>IF(_motor!$B$624=0,"",IF(AND(ABS(_motor!$C$624-_motor!$B$668)&lt;=_motor!$B$676+0.000000001,ABS(_motor!$D$624-_motor!$B$668)&lt;=_motor!$B$676+0.000000001),"5 · Pelotón (no concluyente)",IF(AND(_motor!$C$624&gt;=_motor!$B$668,_motor!$D$624&lt;_motor!$B$668),"1 · Entrada / determinante",IF(AND(_motor!$C$624&gt;=_motor!$B$668,_motor!$D$624&gt;=_motor!$B$668),"2 · Intermedia / de enlace",IF(AND(_motor!$C$624&lt;_motor!$B$668,_motor!$D$624&gt;=_motor!$B$668),"3 · Resultado","4 · Excluida / autónoma")))))</f>
        <v/>
      </c>
      <c r="J44" s="2" t="str">
        <f>IF(_motor!$B$624=0,"",IF(AND(ABS(_motor!$C$624-_motor!$B$668)&lt;=_motor!$B$676+0.000000001,ABS(_motor!$D$624-_motor!$B$668)&lt;=_motor!$B$676+0.000000001),"Reguladora",IF(AND(_motor!$C$624&gt;=_motor!$B$668,_motor!$D$624&lt;0.5*_motor!$B$668),"Determinante / entorno",IF(AND(_motor!$C$624&gt;=_motor!$B$668,_motor!$D$624&lt;_motor!$B$668),"Palanca secundaria",IF(AND(_motor!$C$624&gt;=_motor!$B$668,_motor!$D$624&gt;=_motor!$B$668),"Clave / de enlace",IF(AND(_motor!$D$624&gt;=_motor!$B$668,_motor!$C$624&gt;=0.5*_motor!$B$668),"Objetivo",IF(_motor!$D$624&gt;=_motor!$B$668,"Resultado","Autónoma")))))))</f>
        <v/>
      </c>
    </row>
    <row r="45" spans="1:10" x14ac:dyDescent="0.2">
      <c r="A45" s="6" t="str">
        <f>IF(_motor!$B$625=0,"",'02 · Variables'!$B$46)</f>
        <v/>
      </c>
      <c r="B45" s="2" t="str">
        <f>IF(_motor!$B$625=0,"",'02 · Variables'!$C$46)</f>
        <v/>
      </c>
      <c r="C45" s="9" t="str">
        <f>IF(_motor!$B$625=0,"",_motor!$C$625)</f>
        <v/>
      </c>
      <c r="D45" s="9" t="str">
        <f>IF(_motor!$B$625=0,"",_motor!$D$625)</f>
        <v/>
      </c>
      <c r="E45" s="8" t="str">
        <f>IF(OR(_motor!$B$625=0,_motor!$B$672=0),"",_motor!$C$625/_motor!$B$672)</f>
        <v/>
      </c>
      <c r="F45" s="8" t="str">
        <f>IF(OR(_motor!$B$625=0,_motor!$B$672=0),"",_motor!$D$625/_motor!$B$672)</f>
        <v/>
      </c>
      <c r="G45" s="7" t="str">
        <f>IF(_motor!$B$625=0,"",SUMPRODUCT(_motor!$B$586:$B$665*(_motor!$C$586:$C$665&gt;_motor!$C$625))+(SUMPRODUCT(_motor!$B$586:$B$665*(_motor!$C$586:$C$665=_motor!$C$625))+1)/2)</f>
        <v/>
      </c>
      <c r="H45" s="7" t="str">
        <f>IF(_motor!$B$625=0,"",SUMPRODUCT(_motor!$B$586:$B$665*(_motor!$D$586:$D$665&gt;_motor!$D$625))+(SUMPRODUCT(_motor!$B$586:$B$665*(_motor!$D$586:$D$665=_motor!$D$625))+1)/2)</f>
        <v/>
      </c>
      <c r="I45" s="2" t="str">
        <f>IF(_motor!$B$625=0,"",IF(AND(ABS(_motor!$C$625-_motor!$B$668)&lt;=_motor!$B$676+0.000000001,ABS(_motor!$D$625-_motor!$B$668)&lt;=_motor!$B$676+0.000000001),"5 · Pelotón (no concluyente)",IF(AND(_motor!$C$625&gt;=_motor!$B$668,_motor!$D$625&lt;_motor!$B$668),"1 · Entrada / determinante",IF(AND(_motor!$C$625&gt;=_motor!$B$668,_motor!$D$625&gt;=_motor!$B$668),"2 · Intermedia / de enlace",IF(AND(_motor!$C$625&lt;_motor!$B$668,_motor!$D$625&gt;=_motor!$B$668),"3 · Resultado","4 · Excluida / autónoma")))))</f>
        <v/>
      </c>
      <c r="J45" s="2" t="str">
        <f>IF(_motor!$B$625=0,"",IF(AND(ABS(_motor!$C$625-_motor!$B$668)&lt;=_motor!$B$676+0.000000001,ABS(_motor!$D$625-_motor!$B$668)&lt;=_motor!$B$676+0.000000001),"Reguladora",IF(AND(_motor!$C$625&gt;=_motor!$B$668,_motor!$D$625&lt;0.5*_motor!$B$668),"Determinante / entorno",IF(AND(_motor!$C$625&gt;=_motor!$B$668,_motor!$D$625&lt;_motor!$B$668),"Palanca secundaria",IF(AND(_motor!$C$625&gt;=_motor!$B$668,_motor!$D$625&gt;=_motor!$B$668),"Clave / de enlace",IF(AND(_motor!$D$625&gt;=_motor!$B$668,_motor!$C$625&gt;=0.5*_motor!$B$668),"Objetivo",IF(_motor!$D$625&gt;=_motor!$B$668,"Resultado","Autónoma")))))))</f>
        <v/>
      </c>
    </row>
    <row r="46" spans="1:10" x14ac:dyDescent="0.2">
      <c r="A46" s="6" t="str">
        <f>IF(_motor!$B$626=0,"",'02 · Variables'!$B$47)</f>
        <v/>
      </c>
      <c r="B46" s="2" t="str">
        <f>IF(_motor!$B$626=0,"",'02 · Variables'!$C$47)</f>
        <v/>
      </c>
      <c r="C46" s="9" t="str">
        <f>IF(_motor!$B$626=0,"",_motor!$C$626)</f>
        <v/>
      </c>
      <c r="D46" s="9" t="str">
        <f>IF(_motor!$B$626=0,"",_motor!$D$626)</f>
        <v/>
      </c>
      <c r="E46" s="8" t="str">
        <f>IF(OR(_motor!$B$626=0,_motor!$B$672=0),"",_motor!$C$626/_motor!$B$672)</f>
        <v/>
      </c>
      <c r="F46" s="8" t="str">
        <f>IF(OR(_motor!$B$626=0,_motor!$B$672=0),"",_motor!$D$626/_motor!$B$672)</f>
        <v/>
      </c>
      <c r="G46" s="7" t="str">
        <f>IF(_motor!$B$626=0,"",SUMPRODUCT(_motor!$B$586:$B$665*(_motor!$C$586:$C$665&gt;_motor!$C$626))+(SUMPRODUCT(_motor!$B$586:$B$665*(_motor!$C$586:$C$665=_motor!$C$626))+1)/2)</f>
        <v/>
      </c>
      <c r="H46" s="7" t="str">
        <f>IF(_motor!$B$626=0,"",SUMPRODUCT(_motor!$B$586:$B$665*(_motor!$D$586:$D$665&gt;_motor!$D$626))+(SUMPRODUCT(_motor!$B$586:$B$665*(_motor!$D$586:$D$665=_motor!$D$626))+1)/2)</f>
        <v/>
      </c>
      <c r="I46" s="2" t="str">
        <f>IF(_motor!$B$626=0,"",IF(AND(ABS(_motor!$C$626-_motor!$B$668)&lt;=_motor!$B$676+0.000000001,ABS(_motor!$D$626-_motor!$B$668)&lt;=_motor!$B$676+0.000000001),"5 · Pelotón (no concluyente)",IF(AND(_motor!$C$626&gt;=_motor!$B$668,_motor!$D$626&lt;_motor!$B$668),"1 · Entrada / determinante",IF(AND(_motor!$C$626&gt;=_motor!$B$668,_motor!$D$626&gt;=_motor!$B$668),"2 · Intermedia / de enlace",IF(AND(_motor!$C$626&lt;_motor!$B$668,_motor!$D$626&gt;=_motor!$B$668),"3 · Resultado","4 · Excluida / autónoma")))))</f>
        <v/>
      </c>
      <c r="J46" s="2" t="str">
        <f>IF(_motor!$B$626=0,"",IF(AND(ABS(_motor!$C$626-_motor!$B$668)&lt;=_motor!$B$676+0.000000001,ABS(_motor!$D$626-_motor!$B$668)&lt;=_motor!$B$676+0.000000001),"Reguladora",IF(AND(_motor!$C$626&gt;=_motor!$B$668,_motor!$D$626&lt;0.5*_motor!$B$668),"Determinante / entorno",IF(AND(_motor!$C$626&gt;=_motor!$B$668,_motor!$D$626&lt;_motor!$B$668),"Palanca secundaria",IF(AND(_motor!$C$626&gt;=_motor!$B$668,_motor!$D$626&gt;=_motor!$B$668),"Clave / de enlace",IF(AND(_motor!$D$626&gt;=_motor!$B$668,_motor!$C$626&gt;=0.5*_motor!$B$668),"Objetivo",IF(_motor!$D$626&gt;=_motor!$B$668,"Resultado","Autónoma")))))))</f>
        <v/>
      </c>
    </row>
    <row r="47" spans="1:10" x14ac:dyDescent="0.2">
      <c r="A47" s="6" t="str">
        <f>IF(_motor!$B$627=0,"",'02 · Variables'!$B$48)</f>
        <v/>
      </c>
      <c r="B47" s="2" t="str">
        <f>IF(_motor!$B$627=0,"",'02 · Variables'!$C$48)</f>
        <v/>
      </c>
      <c r="C47" s="9" t="str">
        <f>IF(_motor!$B$627=0,"",_motor!$C$627)</f>
        <v/>
      </c>
      <c r="D47" s="9" t="str">
        <f>IF(_motor!$B$627=0,"",_motor!$D$627)</f>
        <v/>
      </c>
      <c r="E47" s="8" t="str">
        <f>IF(OR(_motor!$B$627=0,_motor!$B$672=0),"",_motor!$C$627/_motor!$B$672)</f>
        <v/>
      </c>
      <c r="F47" s="8" t="str">
        <f>IF(OR(_motor!$B$627=0,_motor!$B$672=0),"",_motor!$D$627/_motor!$B$672)</f>
        <v/>
      </c>
      <c r="G47" s="7" t="str">
        <f>IF(_motor!$B$627=0,"",SUMPRODUCT(_motor!$B$586:$B$665*(_motor!$C$586:$C$665&gt;_motor!$C$627))+(SUMPRODUCT(_motor!$B$586:$B$665*(_motor!$C$586:$C$665=_motor!$C$627))+1)/2)</f>
        <v/>
      </c>
      <c r="H47" s="7" t="str">
        <f>IF(_motor!$B$627=0,"",SUMPRODUCT(_motor!$B$586:$B$665*(_motor!$D$586:$D$665&gt;_motor!$D$627))+(SUMPRODUCT(_motor!$B$586:$B$665*(_motor!$D$586:$D$665=_motor!$D$627))+1)/2)</f>
        <v/>
      </c>
      <c r="I47" s="2" t="str">
        <f>IF(_motor!$B$627=0,"",IF(AND(ABS(_motor!$C$627-_motor!$B$668)&lt;=_motor!$B$676+0.000000001,ABS(_motor!$D$627-_motor!$B$668)&lt;=_motor!$B$676+0.000000001),"5 · Pelotón (no concluyente)",IF(AND(_motor!$C$627&gt;=_motor!$B$668,_motor!$D$627&lt;_motor!$B$668),"1 · Entrada / determinante",IF(AND(_motor!$C$627&gt;=_motor!$B$668,_motor!$D$627&gt;=_motor!$B$668),"2 · Intermedia / de enlace",IF(AND(_motor!$C$627&lt;_motor!$B$668,_motor!$D$627&gt;=_motor!$B$668),"3 · Resultado","4 · Excluida / autónoma")))))</f>
        <v/>
      </c>
      <c r="J47" s="2" t="str">
        <f>IF(_motor!$B$627=0,"",IF(AND(ABS(_motor!$C$627-_motor!$B$668)&lt;=_motor!$B$676+0.000000001,ABS(_motor!$D$627-_motor!$B$668)&lt;=_motor!$B$676+0.000000001),"Reguladora",IF(AND(_motor!$C$627&gt;=_motor!$B$668,_motor!$D$627&lt;0.5*_motor!$B$668),"Determinante / entorno",IF(AND(_motor!$C$627&gt;=_motor!$B$668,_motor!$D$627&lt;_motor!$B$668),"Palanca secundaria",IF(AND(_motor!$C$627&gt;=_motor!$B$668,_motor!$D$627&gt;=_motor!$B$668),"Clave / de enlace",IF(AND(_motor!$D$627&gt;=_motor!$B$668,_motor!$C$627&gt;=0.5*_motor!$B$668),"Objetivo",IF(_motor!$D$627&gt;=_motor!$B$668,"Resultado","Autónoma")))))))</f>
        <v/>
      </c>
    </row>
    <row r="48" spans="1:10" x14ac:dyDescent="0.2">
      <c r="A48" s="6" t="str">
        <f>IF(_motor!$B$628=0,"",'02 · Variables'!$B$49)</f>
        <v/>
      </c>
      <c r="B48" s="2" t="str">
        <f>IF(_motor!$B$628=0,"",'02 · Variables'!$C$49)</f>
        <v/>
      </c>
      <c r="C48" s="9" t="str">
        <f>IF(_motor!$B$628=0,"",_motor!$C$628)</f>
        <v/>
      </c>
      <c r="D48" s="9" t="str">
        <f>IF(_motor!$B$628=0,"",_motor!$D$628)</f>
        <v/>
      </c>
      <c r="E48" s="8" t="str">
        <f>IF(OR(_motor!$B$628=0,_motor!$B$672=0),"",_motor!$C$628/_motor!$B$672)</f>
        <v/>
      </c>
      <c r="F48" s="8" t="str">
        <f>IF(OR(_motor!$B$628=0,_motor!$B$672=0),"",_motor!$D$628/_motor!$B$672)</f>
        <v/>
      </c>
      <c r="G48" s="7" t="str">
        <f>IF(_motor!$B$628=0,"",SUMPRODUCT(_motor!$B$586:$B$665*(_motor!$C$586:$C$665&gt;_motor!$C$628))+(SUMPRODUCT(_motor!$B$586:$B$665*(_motor!$C$586:$C$665=_motor!$C$628))+1)/2)</f>
        <v/>
      </c>
      <c r="H48" s="7" t="str">
        <f>IF(_motor!$B$628=0,"",SUMPRODUCT(_motor!$B$586:$B$665*(_motor!$D$586:$D$665&gt;_motor!$D$628))+(SUMPRODUCT(_motor!$B$586:$B$665*(_motor!$D$586:$D$665=_motor!$D$628))+1)/2)</f>
        <v/>
      </c>
      <c r="I48" s="2" t="str">
        <f>IF(_motor!$B$628=0,"",IF(AND(ABS(_motor!$C$628-_motor!$B$668)&lt;=_motor!$B$676+0.000000001,ABS(_motor!$D$628-_motor!$B$668)&lt;=_motor!$B$676+0.000000001),"5 · Pelotón (no concluyente)",IF(AND(_motor!$C$628&gt;=_motor!$B$668,_motor!$D$628&lt;_motor!$B$668),"1 · Entrada / determinante",IF(AND(_motor!$C$628&gt;=_motor!$B$668,_motor!$D$628&gt;=_motor!$B$668),"2 · Intermedia / de enlace",IF(AND(_motor!$C$628&lt;_motor!$B$668,_motor!$D$628&gt;=_motor!$B$668),"3 · Resultado","4 · Excluida / autónoma")))))</f>
        <v/>
      </c>
      <c r="J48" s="2" t="str">
        <f>IF(_motor!$B$628=0,"",IF(AND(ABS(_motor!$C$628-_motor!$B$668)&lt;=_motor!$B$676+0.000000001,ABS(_motor!$D$628-_motor!$B$668)&lt;=_motor!$B$676+0.000000001),"Reguladora",IF(AND(_motor!$C$628&gt;=_motor!$B$668,_motor!$D$628&lt;0.5*_motor!$B$668),"Determinante / entorno",IF(AND(_motor!$C$628&gt;=_motor!$B$668,_motor!$D$628&lt;_motor!$B$668),"Palanca secundaria",IF(AND(_motor!$C$628&gt;=_motor!$B$668,_motor!$D$628&gt;=_motor!$B$668),"Clave / de enlace",IF(AND(_motor!$D$628&gt;=_motor!$B$668,_motor!$C$628&gt;=0.5*_motor!$B$668),"Objetivo",IF(_motor!$D$628&gt;=_motor!$B$668,"Resultado","Autónoma")))))))</f>
        <v/>
      </c>
    </row>
    <row r="49" spans="1:10" x14ac:dyDescent="0.2">
      <c r="A49" s="6" t="str">
        <f>IF(_motor!$B$629=0,"",'02 · Variables'!$B$50)</f>
        <v/>
      </c>
      <c r="B49" s="2" t="str">
        <f>IF(_motor!$B$629=0,"",'02 · Variables'!$C$50)</f>
        <v/>
      </c>
      <c r="C49" s="9" t="str">
        <f>IF(_motor!$B$629=0,"",_motor!$C$629)</f>
        <v/>
      </c>
      <c r="D49" s="9" t="str">
        <f>IF(_motor!$B$629=0,"",_motor!$D$629)</f>
        <v/>
      </c>
      <c r="E49" s="8" t="str">
        <f>IF(OR(_motor!$B$629=0,_motor!$B$672=0),"",_motor!$C$629/_motor!$B$672)</f>
        <v/>
      </c>
      <c r="F49" s="8" t="str">
        <f>IF(OR(_motor!$B$629=0,_motor!$B$672=0),"",_motor!$D$629/_motor!$B$672)</f>
        <v/>
      </c>
      <c r="G49" s="7" t="str">
        <f>IF(_motor!$B$629=0,"",SUMPRODUCT(_motor!$B$586:$B$665*(_motor!$C$586:$C$665&gt;_motor!$C$629))+(SUMPRODUCT(_motor!$B$586:$B$665*(_motor!$C$586:$C$665=_motor!$C$629))+1)/2)</f>
        <v/>
      </c>
      <c r="H49" s="7" t="str">
        <f>IF(_motor!$B$629=0,"",SUMPRODUCT(_motor!$B$586:$B$665*(_motor!$D$586:$D$665&gt;_motor!$D$629))+(SUMPRODUCT(_motor!$B$586:$B$665*(_motor!$D$586:$D$665=_motor!$D$629))+1)/2)</f>
        <v/>
      </c>
      <c r="I49" s="2" t="str">
        <f>IF(_motor!$B$629=0,"",IF(AND(ABS(_motor!$C$629-_motor!$B$668)&lt;=_motor!$B$676+0.000000001,ABS(_motor!$D$629-_motor!$B$668)&lt;=_motor!$B$676+0.000000001),"5 · Pelotón (no concluyente)",IF(AND(_motor!$C$629&gt;=_motor!$B$668,_motor!$D$629&lt;_motor!$B$668),"1 · Entrada / determinante",IF(AND(_motor!$C$629&gt;=_motor!$B$668,_motor!$D$629&gt;=_motor!$B$668),"2 · Intermedia / de enlace",IF(AND(_motor!$C$629&lt;_motor!$B$668,_motor!$D$629&gt;=_motor!$B$668),"3 · Resultado","4 · Excluida / autónoma")))))</f>
        <v/>
      </c>
      <c r="J49" s="2" t="str">
        <f>IF(_motor!$B$629=0,"",IF(AND(ABS(_motor!$C$629-_motor!$B$668)&lt;=_motor!$B$676+0.000000001,ABS(_motor!$D$629-_motor!$B$668)&lt;=_motor!$B$676+0.000000001),"Reguladora",IF(AND(_motor!$C$629&gt;=_motor!$B$668,_motor!$D$629&lt;0.5*_motor!$B$668),"Determinante / entorno",IF(AND(_motor!$C$629&gt;=_motor!$B$668,_motor!$D$629&lt;_motor!$B$668),"Palanca secundaria",IF(AND(_motor!$C$629&gt;=_motor!$B$668,_motor!$D$629&gt;=_motor!$B$668),"Clave / de enlace",IF(AND(_motor!$D$629&gt;=_motor!$B$668,_motor!$C$629&gt;=0.5*_motor!$B$668),"Objetivo",IF(_motor!$D$629&gt;=_motor!$B$668,"Resultado","Autónoma")))))))</f>
        <v/>
      </c>
    </row>
    <row r="50" spans="1:10" x14ac:dyDescent="0.2">
      <c r="A50" s="6" t="str">
        <f>IF(_motor!$B$630=0,"",'02 · Variables'!$B$51)</f>
        <v/>
      </c>
      <c r="B50" s="2" t="str">
        <f>IF(_motor!$B$630=0,"",'02 · Variables'!$C$51)</f>
        <v/>
      </c>
      <c r="C50" s="9" t="str">
        <f>IF(_motor!$B$630=0,"",_motor!$C$630)</f>
        <v/>
      </c>
      <c r="D50" s="9" t="str">
        <f>IF(_motor!$B$630=0,"",_motor!$D$630)</f>
        <v/>
      </c>
      <c r="E50" s="8" t="str">
        <f>IF(OR(_motor!$B$630=0,_motor!$B$672=0),"",_motor!$C$630/_motor!$B$672)</f>
        <v/>
      </c>
      <c r="F50" s="8" t="str">
        <f>IF(OR(_motor!$B$630=0,_motor!$B$672=0),"",_motor!$D$630/_motor!$B$672)</f>
        <v/>
      </c>
      <c r="G50" s="7" t="str">
        <f>IF(_motor!$B$630=0,"",SUMPRODUCT(_motor!$B$586:$B$665*(_motor!$C$586:$C$665&gt;_motor!$C$630))+(SUMPRODUCT(_motor!$B$586:$B$665*(_motor!$C$586:$C$665=_motor!$C$630))+1)/2)</f>
        <v/>
      </c>
      <c r="H50" s="7" t="str">
        <f>IF(_motor!$B$630=0,"",SUMPRODUCT(_motor!$B$586:$B$665*(_motor!$D$586:$D$665&gt;_motor!$D$630))+(SUMPRODUCT(_motor!$B$586:$B$665*(_motor!$D$586:$D$665=_motor!$D$630))+1)/2)</f>
        <v/>
      </c>
      <c r="I50" s="2" t="str">
        <f>IF(_motor!$B$630=0,"",IF(AND(ABS(_motor!$C$630-_motor!$B$668)&lt;=_motor!$B$676+0.000000001,ABS(_motor!$D$630-_motor!$B$668)&lt;=_motor!$B$676+0.000000001),"5 · Pelotón (no concluyente)",IF(AND(_motor!$C$630&gt;=_motor!$B$668,_motor!$D$630&lt;_motor!$B$668),"1 · Entrada / determinante",IF(AND(_motor!$C$630&gt;=_motor!$B$668,_motor!$D$630&gt;=_motor!$B$668),"2 · Intermedia / de enlace",IF(AND(_motor!$C$630&lt;_motor!$B$668,_motor!$D$630&gt;=_motor!$B$668),"3 · Resultado","4 · Excluida / autónoma")))))</f>
        <v/>
      </c>
      <c r="J50" s="2" t="str">
        <f>IF(_motor!$B$630=0,"",IF(AND(ABS(_motor!$C$630-_motor!$B$668)&lt;=_motor!$B$676+0.000000001,ABS(_motor!$D$630-_motor!$B$668)&lt;=_motor!$B$676+0.000000001),"Reguladora",IF(AND(_motor!$C$630&gt;=_motor!$B$668,_motor!$D$630&lt;0.5*_motor!$B$668),"Determinante / entorno",IF(AND(_motor!$C$630&gt;=_motor!$B$668,_motor!$D$630&lt;_motor!$B$668),"Palanca secundaria",IF(AND(_motor!$C$630&gt;=_motor!$B$668,_motor!$D$630&gt;=_motor!$B$668),"Clave / de enlace",IF(AND(_motor!$D$630&gt;=_motor!$B$668,_motor!$C$630&gt;=0.5*_motor!$B$668),"Objetivo",IF(_motor!$D$630&gt;=_motor!$B$668,"Resultado","Autónoma")))))))</f>
        <v/>
      </c>
    </row>
    <row r="51" spans="1:10" x14ac:dyDescent="0.2">
      <c r="A51" s="6" t="str">
        <f>IF(_motor!$B$631=0,"",'02 · Variables'!$B$52)</f>
        <v/>
      </c>
      <c r="B51" s="2" t="str">
        <f>IF(_motor!$B$631=0,"",'02 · Variables'!$C$52)</f>
        <v/>
      </c>
      <c r="C51" s="9" t="str">
        <f>IF(_motor!$B$631=0,"",_motor!$C$631)</f>
        <v/>
      </c>
      <c r="D51" s="9" t="str">
        <f>IF(_motor!$B$631=0,"",_motor!$D$631)</f>
        <v/>
      </c>
      <c r="E51" s="8" t="str">
        <f>IF(OR(_motor!$B$631=0,_motor!$B$672=0),"",_motor!$C$631/_motor!$B$672)</f>
        <v/>
      </c>
      <c r="F51" s="8" t="str">
        <f>IF(OR(_motor!$B$631=0,_motor!$B$672=0),"",_motor!$D$631/_motor!$B$672)</f>
        <v/>
      </c>
      <c r="G51" s="7" t="str">
        <f>IF(_motor!$B$631=0,"",SUMPRODUCT(_motor!$B$586:$B$665*(_motor!$C$586:$C$665&gt;_motor!$C$631))+(SUMPRODUCT(_motor!$B$586:$B$665*(_motor!$C$586:$C$665=_motor!$C$631))+1)/2)</f>
        <v/>
      </c>
      <c r="H51" s="7" t="str">
        <f>IF(_motor!$B$631=0,"",SUMPRODUCT(_motor!$B$586:$B$665*(_motor!$D$586:$D$665&gt;_motor!$D$631))+(SUMPRODUCT(_motor!$B$586:$B$665*(_motor!$D$586:$D$665=_motor!$D$631))+1)/2)</f>
        <v/>
      </c>
      <c r="I51" s="2" t="str">
        <f>IF(_motor!$B$631=0,"",IF(AND(ABS(_motor!$C$631-_motor!$B$668)&lt;=_motor!$B$676+0.000000001,ABS(_motor!$D$631-_motor!$B$668)&lt;=_motor!$B$676+0.000000001),"5 · Pelotón (no concluyente)",IF(AND(_motor!$C$631&gt;=_motor!$B$668,_motor!$D$631&lt;_motor!$B$668),"1 · Entrada / determinante",IF(AND(_motor!$C$631&gt;=_motor!$B$668,_motor!$D$631&gt;=_motor!$B$668),"2 · Intermedia / de enlace",IF(AND(_motor!$C$631&lt;_motor!$B$668,_motor!$D$631&gt;=_motor!$B$668),"3 · Resultado","4 · Excluida / autónoma")))))</f>
        <v/>
      </c>
      <c r="J51" s="2" t="str">
        <f>IF(_motor!$B$631=0,"",IF(AND(ABS(_motor!$C$631-_motor!$B$668)&lt;=_motor!$B$676+0.000000001,ABS(_motor!$D$631-_motor!$B$668)&lt;=_motor!$B$676+0.000000001),"Reguladora",IF(AND(_motor!$C$631&gt;=_motor!$B$668,_motor!$D$631&lt;0.5*_motor!$B$668),"Determinante / entorno",IF(AND(_motor!$C$631&gt;=_motor!$B$668,_motor!$D$631&lt;_motor!$B$668),"Palanca secundaria",IF(AND(_motor!$C$631&gt;=_motor!$B$668,_motor!$D$631&gt;=_motor!$B$668),"Clave / de enlace",IF(AND(_motor!$D$631&gt;=_motor!$B$668,_motor!$C$631&gt;=0.5*_motor!$B$668),"Objetivo",IF(_motor!$D$631&gt;=_motor!$B$668,"Resultado","Autónoma")))))))</f>
        <v/>
      </c>
    </row>
    <row r="52" spans="1:10" x14ac:dyDescent="0.2">
      <c r="A52" s="6" t="str">
        <f>IF(_motor!$B$632=0,"",'02 · Variables'!$B$53)</f>
        <v/>
      </c>
      <c r="B52" s="2" t="str">
        <f>IF(_motor!$B$632=0,"",'02 · Variables'!$C$53)</f>
        <v/>
      </c>
      <c r="C52" s="9" t="str">
        <f>IF(_motor!$B$632=0,"",_motor!$C$632)</f>
        <v/>
      </c>
      <c r="D52" s="9" t="str">
        <f>IF(_motor!$B$632=0,"",_motor!$D$632)</f>
        <v/>
      </c>
      <c r="E52" s="8" t="str">
        <f>IF(OR(_motor!$B$632=0,_motor!$B$672=0),"",_motor!$C$632/_motor!$B$672)</f>
        <v/>
      </c>
      <c r="F52" s="8" t="str">
        <f>IF(OR(_motor!$B$632=0,_motor!$B$672=0),"",_motor!$D$632/_motor!$B$672)</f>
        <v/>
      </c>
      <c r="G52" s="7" t="str">
        <f>IF(_motor!$B$632=0,"",SUMPRODUCT(_motor!$B$586:$B$665*(_motor!$C$586:$C$665&gt;_motor!$C$632))+(SUMPRODUCT(_motor!$B$586:$B$665*(_motor!$C$586:$C$665=_motor!$C$632))+1)/2)</f>
        <v/>
      </c>
      <c r="H52" s="7" t="str">
        <f>IF(_motor!$B$632=0,"",SUMPRODUCT(_motor!$B$586:$B$665*(_motor!$D$586:$D$665&gt;_motor!$D$632))+(SUMPRODUCT(_motor!$B$586:$B$665*(_motor!$D$586:$D$665=_motor!$D$632))+1)/2)</f>
        <v/>
      </c>
      <c r="I52" s="2" t="str">
        <f>IF(_motor!$B$632=0,"",IF(AND(ABS(_motor!$C$632-_motor!$B$668)&lt;=_motor!$B$676+0.000000001,ABS(_motor!$D$632-_motor!$B$668)&lt;=_motor!$B$676+0.000000001),"5 · Pelotón (no concluyente)",IF(AND(_motor!$C$632&gt;=_motor!$B$668,_motor!$D$632&lt;_motor!$B$668),"1 · Entrada / determinante",IF(AND(_motor!$C$632&gt;=_motor!$B$668,_motor!$D$632&gt;=_motor!$B$668),"2 · Intermedia / de enlace",IF(AND(_motor!$C$632&lt;_motor!$B$668,_motor!$D$632&gt;=_motor!$B$668),"3 · Resultado","4 · Excluida / autónoma")))))</f>
        <v/>
      </c>
      <c r="J52" s="2" t="str">
        <f>IF(_motor!$B$632=0,"",IF(AND(ABS(_motor!$C$632-_motor!$B$668)&lt;=_motor!$B$676+0.000000001,ABS(_motor!$D$632-_motor!$B$668)&lt;=_motor!$B$676+0.000000001),"Reguladora",IF(AND(_motor!$C$632&gt;=_motor!$B$668,_motor!$D$632&lt;0.5*_motor!$B$668),"Determinante / entorno",IF(AND(_motor!$C$632&gt;=_motor!$B$668,_motor!$D$632&lt;_motor!$B$668),"Palanca secundaria",IF(AND(_motor!$C$632&gt;=_motor!$B$668,_motor!$D$632&gt;=_motor!$B$668),"Clave / de enlace",IF(AND(_motor!$D$632&gt;=_motor!$B$668,_motor!$C$632&gt;=0.5*_motor!$B$668),"Objetivo",IF(_motor!$D$632&gt;=_motor!$B$668,"Resultado","Autónoma")))))))</f>
        <v/>
      </c>
    </row>
    <row r="53" spans="1:10" x14ac:dyDescent="0.2">
      <c r="A53" s="6" t="str">
        <f>IF(_motor!$B$633=0,"",'02 · Variables'!$B$54)</f>
        <v/>
      </c>
      <c r="B53" s="2" t="str">
        <f>IF(_motor!$B$633=0,"",'02 · Variables'!$C$54)</f>
        <v/>
      </c>
      <c r="C53" s="9" t="str">
        <f>IF(_motor!$B$633=0,"",_motor!$C$633)</f>
        <v/>
      </c>
      <c r="D53" s="9" t="str">
        <f>IF(_motor!$B$633=0,"",_motor!$D$633)</f>
        <v/>
      </c>
      <c r="E53" s="8" t="str">
        <f>IF(OR(_motor!$B$633=0,_motor!$B$672=0),"",_motor!$C$633/_motor!$B$672)</f>
        <v/>
      </c>
      <c r="F53" s="8" t="str">
        <f>IF(OR(_motor!$B$633=0,_motor!$B$672=0),"",_motor!$D$633/_motor!$B$672)</f>
        <v/>
      </c>
      <c r="G53" s="7" t="str">
        <f>IF(_motor!$B$633=0,"",SUMPRODUCT(_motor!$B$586:$B$665*(_motor!$C$586:$C$665&gt;_motor!$C$633))+(SUMPRODUCT(_motor!$B$586:$B$665*(_motor!$C$586:$C$665=_motor!$C$633))+1)/2)</f>
        <v/>
      </c>
      <c r="H53" s="7" t="str">
        <f>IF(_motor!$B$633=0,"",SUMPRODUCT(_motor!$B$586:$B$665*(_motor!$D$586:$D$665&gt;_motor!$D$633))+(SUMPRODUCT(_motor!$B$586:$B$665*(_motor!$D$586:$D$665=_motor!$D$633))+1)/2)</f>
        <v/>
      </c>
      <c r="I53" s="2" t="str">
        <f>IF(_motor!$B$633=0,"",IF(AND(ABS(_motor!$C$633-_motor!$B$668)&lt;=_motor!$B$676+0.000000001,ABS(_motor!$D$633-_motor!$B$668)&lt;=_motor!$B$676+0.000000001),"5 · Pelotón (no concluyente)",IF(AND(_motor!$C$633&gt;=_motor!$B$668,_motor!$D$633&lt;_motor!$B$668),"1 · Entrada / determinante",IF(AND(_motor!$C$633&gt;=_motor!$B$668,_motor!$D$633&gt;=_motor!$B$668),"2 · Intermedia / de enlace",IF(AND(_motor!$C$633&lt;_motor!$B$668,_motor!$D$633&gt;=_motor!$B$668),"3 · Resultado","4 · Excluida / autónoma")))))</f>
        <v/>
      </c>
      <c r="J53" s="2" t="str">
        <f>IF(_motor!$B$633=0,"",IF(AND(ABS(_motor!$C$633-_motor!$B$668)&lt;=_motor!$B$676+0.000000001,ABS(_motor!$D$633-_motor!$B$668)&lt;=_motor!$B$676+0.000000001),"Reguladora",IF(AND(_motor!$C$633&gt;=_motor!$B$668,_motor!$D$633&lt;0.5*_motor!$B$668),"Determinante / entorno",IF(AND(_motor!$C$633&gt;=_motor!$B$668,_motor!$D$633&lt;_motor!$B$668),"Palanca secundaria",IF(AND(_motor!$C$633&gt;=_motor!$B$668,_motor!$D$633&gt;=_motor!$B$668),"Clave / de enlace",IF(AND(_motor!$D$633&gt;=_motor!$B$668,_motor!$C$633&gt;=0.5*_motor!$B$668),"Objetivo",IF(_motor!$D$633&gt;=_motor!$B$668,"Resultado","Autónoma")))))))</f>
        <v/>
      </c>
    </row>
    <row r="54" spans="1:10" x14ac:dyDescent="0.2">
      <c r="A54" s="6" t="str">
        <f>IF(_motor!$B$634=0,"",'02 · Variables'!$B$55)</f>
        <v/>
      </c>
      <c r="B54" s="2" t="str">
        <f>IF(_motor!$B$634=0,"",'02 · Variables'!$C$55)</f>
        <v/>
      </c>
      <c r="C54" s="9" t="str">
        <f>IF(_motor!$B$634=0,"",_motor!$C$634)</f>
        <v/>
      </c>
      <c r="D54" s="9" t="str">
        <f>IF(_motor!$B$634=0,"",_motor!$D$634)</f>
        <v/>
      </c>
      <c r="E54" s="8" t="str">
        <f>IF(OR(_motor!$B$634=0,_motor!$B$672=0),"",_motor!$C$634/_motor!$B$672)</f>
        <v/>
      </c>
      <c r="F54" s="8" t="str">
        <f>IF(OR(_motor!$B$634=0,_motor!$B$672=0),"",_motor!$D$634/_motor!$B$672)</f>
        <v/>
      </c>
      <c r="G54" s="7" t="str">
        <f>IF(_motor!$B$634=0,"",SUMPRODUCT(_motor!$B$586:$B$665*(_motor!$C$586:$C$665&gt;_motor!$C$634))+(SUMPRODUCT(_motor!$B$586:$B$665*(_motor!$C$586:$C$665=_motor!$C$634))+1)/2)</f>
        <v/>
      </c>
      <c r="H54" s="7" t="str">
        <f>IF(_motor!$B$634=0,"",SUMPRODUCT(_motor!$B$586:$B$665*(_motor!$D$586:$D$665&gt;_motor!$D$634))+(SUMPRODUCT(_motor!$B$586:$B$665*(_motor!$D$586:$D$665=_motor!$D$634))+1)/2)</f>
        <v/>
      </c>
      <c r="I54" s="2" t="str">
        <f>IF(_motor!$B$634=0,"",IF(AND(ABS(_motor!$C$634-_motor!$B$668)&lt;=_motor!$B$676+0.000000001,ABS(_motor!$D$634-_motor!$B$668)&lt;=_motor!$B$676+0.000000001),"5 · Pelotón (no concluyente)",IF(AND(_motor!$C$634&gt;=_motor!$B$668,_motor!$D$634&lt;_motor!$B$668),"1 · Entrada / determinante",IF(AND(_motor!$C$634&gt;=_motor!$B$668,_motor!$D$634&gt;=_motor!$B$668),"2 · Intermedia / de enlace",IF(AND(_motor!$C$634&lt;_motor!$B$668,_motor!$D$634&gt;=_motor!$B$668),"3 · Resultado","4 · Excluida / autónoma")))))</f>
        <v/>
      </c>
      <c r="J54" s="2" t="str">
        <f>IF(_motor!$B$634=0,"",IF(AND(ABS(_motor!$C$634-_motor!$B$668)&lt;=_motor!$B$676+0.000000001,ABS(_motor!$D$634-_motor!$B$668)&lt;=_motor!$B$676+0.000000001),"Reguladora",IF(AND(_motor!$C$634&gt;=_motor!$B$668,_motor!$D$634&lt;0.5*_motor!$B$668),"Determinante / entorno",IF(AND(_motor!$C$634&gt;=_motor!$B$668,_motor!$D$634&lt;_motor!$B$668),"Palanca secundaria",IF(AND(_motor!$C$634&gt;=_motor!$B$668,_motor!$D$634&gt;=_motor!$B$668),"Clave / de enlace",IF(AND(_motor!$D$634&gt;=_motor!$B$668,_motor!$C$634&gt;=0.5*_motor!$B$668),"Objetivo",IF(_motor!$D$634&gt;=_motor!$B$668,"Resultado","Autónoma")))))))</f>
        <v/>
      </c>
    </row>
    <row r="55" spans="1:10" x14ac:dyDescent="0.2">
      <c r="A55" s="6" t="str">
        <f>IF(_motor!$B$635=0,"",'02 · Variables'!$B$56)</f>
        <v/>
      </c>
      <c r="B55" s="2" t="str">
        <f>IF(_motor!$B$635=0,"",'02 · Variables'!$C$56)</f>
        <v/>
      </c>
      <c r="C55" s="9" t="str">
        <f>IF(_motor!$B$635=0,"",_motor!$C$635)</f>
        <v/>
      </c>
      <c r="D55" s="9" t="str">
        <f>IF(_motor!$B$635=0,"",_motor!$D$635)</f>
        <v/>
      </c>
      <c r="E55" s="8" t="str">
        <f>IF(OR(_motor!$B$635=0,_motor!$B$672=0),"",_motor!$C$635/_motor!$B$672)</f>
        <v/>
      </c>
      <c r="F55" s="8" t="str">
        <f>IF(OR(_motor!$B$635=0,_motor!$B$672=0),"",_motor!$D$635/_motor!$B$672)</f>
        <v/>
      </c>
      <c r="G55" s="7" t="str">
        <f>IF(_motor!$B$635=0,"",SUMPRODUCT(_motor!$B$586:$B$665*(_motor!$C$586:$C$665&gt;_motor!$C$635))+(SUMPRODUCT(_motor!$B$586:$B$665*(_motor!$C$586:$C$665=_motor!$C$635))+1)/2)</f>
        <v/>
      </c>
      <c r="H55" s="7" t="str">
        <f>IF(_motor!$B$635=0,"",SUMPRODUCT(_motor!$B$586:$B$665*(_motor!$D$586:$D$665&gt;_motor!$D$635))+(SUMPRODUCT(_motor!$B$586:$B$665*(_motor!$D$586:$D$665=_motor!$D$635))+1)/2)</f>
        <v/>
      </c>
      <c r="I55" s="2" t="str">
        <f>IF(_motor!$B$635=0,"",IF(AND(ABS(_motor!$C$635-_motor!$B$668)&lt;=_motor!$B$676+0.000000001,ABS(_motor!$D$635-_motor!$B$668)&lt;=_motor!$B$676+0.000000001),"5 · Pelotón (no concluyente)",IF(AND(_motor!$C$635&gt;=_motor!$B$668,_motor!$D$635&lt;_motor!$B$668),"1 · Entrada / determinante",IF(AND(_motor!$C$635&gt;=_motor!$B$668,_motor!$D$635&gt;=_motor!$B$668),"2 · Intermedia / de enlace",IF(AND(_motor!$C$635&lt;_motor!$B$668,_motor!$D$635&gt;=_motor!$B$668),"3 · Resultado","4 · Excluida / autónoma")))))</f>
        <v/>
      </c>
      <c r="J55" s="2" t="str">
        <f>IF(_motor!$B$635=0,"",IF(AND(ABS(_motor!$C$635-_motor!$B$668)&lt;=_motor!$B$676+0.000000001,ABS(_motor!$D$635-_motor!$B$668)&lt;=_motor!$B$676+0.000000001),"Reguladora",IF(AND(_motor!$C$635&gt;=_motor!$B$668,_motor!$D$635&lt;0.5*_motor!$B$668),"Determinante / entorno",IF(AND(_motor!$C$635&gt;=_motor!$B$668,_motor!$D$635&lt;_motor!$B$668),"Palanca secundaria",IF(AND(_motor!$C$635&gt;=_motor!$B$668,_motor!$D$635&gt;=_motor!$B$668),"Clave / de enlace",IF(AND(_motor!$D$635&gt;=_motor!$B$668,_motor!$C$635&gt;=0.5*_motor!$B$668),"Objetivo",IF(_motor!$D$635&gt;=_motor!$B$668,"Resultado","Autónoma")))))))</f>
        <v/>
      </c>
    </row>
    <row r="56" spans="1:10" x14ac:dyDescent="0.2">
      <c r="A56" s="6" t="str">
        <f>IF(_motor!$B$636=0,"",'02 · Variables'!$B$57)</f>
        <v/>
      </c>
      <c r="B56" s="2" t="str">
        <f>IF(_motor!$B$636=0,"",'02 · Variables'!$C$57)</f>
        <v/>
      </c>
      <c r="C56" s="9" t="str">
        <f>IF(_motor!$B$636=0,"",_motor!$C$636)</f>
        <v/>
      </c>
      <c r="D56" s="9" t="str">
        <f>IF(_motor!$B$636=0,"",_motor!$D$636)</f>
        <v/>
      </c>
      <c r="E56" s="8" t="str">
        <f>IF(OR(_motor!$B$636=0,_motor!$B$672=0),"",_motor!$C$636/_motor!$B$672)</f>
        <v/>
      </c>
      <c r="F56" s="8" t="str">
        <f>IF(OR(_motor!$B$636=0,_motor!$B$672=0),"",_motor!$D$636/_motor!$B$672)</f>
        <v/>
      </c>
      <c r="G56" s="7" t="str">
        <f>IF(_motor!$B$636=0,"",SUMPRODUCT(_motor!$B$586:$B$665*(_motor!$C$586:$C$665&gt;_motor!$C$636))+(SUMPRODUCT(_motor!$B$586:$B$665*(_motor!$C$586:$C$665=_motor!$C$636))+1)/2)</f>
        <v/>
      </c>
      <c r="H56" s="7" t="str">
        <f>IF(_motor!$B$636=0,"",SUMPRODUCT(_motor!$B$586:$B$665*(_motor!$D$586:$D$665&gt;_motor!$D$636))+(SUMPRODUCT(_motor!$B$586:$B$665*(_motor!$D$586:$D$665=_motor!$D$636))+1)/2)</f>
        <v/>
      </c>
      <c r="I56" s="2" t="str">
        <f>IF(_motor!$B$636=0,"",IF(AND(ABS(_motor!$C$636-_motor!$B$668)&lt;=_motor!$B$676+0.000000001,ABS(_motor!$D$636-_motor!$B$668)&lt;=_motor!$B$676+0.000000001),"5 · Pelotón (no concluyente)",IF(AND(_motor!$C$636&gt;=_motor!$B$668,_motor!$D$636&lt;_motor!$B$668),"1 · Entrada / determinante",IF(AND(_motor!$C$636&gt;=_motor!$B$668,_motor!$D$636&gt;=_motor!$B$668),"2 · Intermedia / de enlace",IF(AND(_motor!$C$636&lt;_motor!$B$668,_motor!$D$636&gt;=_motor!$B$668),"3 · Resultado","4 · Excluida / autónoma")))))</f>
        <v/>
      </c>
      <c r="J56" s="2" t="str">
        <f>IF(_motor!$B$636=0,"",IF(AND(ABS(_motor!$C$636-_motor!$B$668)&lt;=_motor!$B$676+0.000000001,ABS(_motor!$D$636-_motor!$B$668)&lt;=_motor!$B$676+0.000000001),"Reguladora",IF(AND(_motor!$C$636&gt;=_motor!$B$668,_motor!$D$636&lt;0.5*_motor!$B$668),"Determinante / entorno",IF(AND(_motor!$C$636&gt;=_motor!$B$668,_motor!$D$636&lt;_motor!$B$668),"Palanca secundaria",IF(AND(_motor!$C$636&gt;=_motor!$B$668,_motor!$D$636&gt;=_motor!$B$668),"Clave / de enlace",IF(AND(_motor!$D$636&gt;=_motor!$B$668,_motor!$C$636&gt;=0.5*_motor!$B$668),"Objetivo",IF(_motor!$D$636&gt;=_motor!$B$668,"Resultado","Autónoma")))))))</f>
        <v/>
      </c>
    </row>
    <row r="57" spans="1:10" x14ac:dyDescent="0.2">
      <c r="A57" s="6" t="str">
        <f>IF(_motor!$B$637=0,"",'02 · Variables'!$B$58)</f>
        <v/>
      </c>
      <c r="B57" s="2" t="str">
        <f>IF(_motor!$B$637=0,"",'02 · Variables'!$C$58)</f>
        <v/>
      </c>
      <c r="C57" s="9" t="str">
        <f>IF(_motor!$B$637=0,"",_motor!$C$637)</f>
        <v/>
      </c>
      <c r="D57" s="9" t="str">
        <f>IF(_motor!$B$637=0,"",_motor!$D$637)</f>
        <v/>
      </c>
      <c r="E57" s="8" t="str">
        <f>IF(OR(_motor!$B$637=0,_motor!$B$672=0),"",_motor!$C$637/_motor!$B$672)</f>
        <v/>
      </c>
      <c r="F57" s="8" t="str">
        <f>IF(OR(_motor!$B$637=0,_motor!$B$672=0),"",_motor!$D$637/_motor!$B$672)</f>
        <v/>
      </c>
      <c r="G57" s="7" t="str">
        <f>IF(_motor!$B$637=0,"",SUMPRODUCT(_motor!$B$586:$B$665*(_motor!$C$586:$C$665&gt;_motor!$C$637))+(SUMPRODUCT(_motor!$B$586:$B$665*(_motor!$C$586:$C$665=_motor!$C$637))+1)/2)</f>
        <v/>
      </c>
      <c r="H57" s="7" t="str">
        <f>IF(_motor!$B$637=0,"",SUMPRODUCT(_motor!$B$586:$B$665*(_motor!$D$586:$D$665&gt;_motor!$D$637))+(SUMPRODUCT(_motor!$B$586:$B$665*(_motor!$D$586:$D$665=_motor!$D$637))+1)/2)</f>
        <v/>
      </c>
      <c r="I57" s="2" t="str">
        <f>IF(_motor!$B$637=0,"",IF(AND(ABS(_motor!$C$637-_motor!$B$668)&lt;=_motor!$B$676+0.000000001,ABS(_motor!$D$637-_motor!$B$668)&lt;=_motor!$B$676+0.000000001),"5 · Pelotón (no concluyente)",IF(AND(_motor!$C$637&gt;=_motor!$B$668,_motor!$D$637&lt;_motor!$B$668),"1 · Entrada / determinante",IF(AND(_motor!$C$637&gt;=_motor!$B$668,_motor!$D$637&gt;=_motor!$B$668),"2 · Intermedia / de enlace",IF(AND(_motor!$C$637&lt;_motor!$B$668,_motor!$D$637&gt;=_motor!$B$668),"3 · Resultado","4 · Excluida / autónoma")))))</f>
        <v/>
      </c>
      <c r="J57" s="2" t="str">
        <f>IF(_motor!$B$637=0,"",IF(AND(ABS(_motor!$C$637-_motor!$B$668)&lt;=_motor!$B$676+0.000000001,ABS(_motor!$D$637-_motor!$B$668)&lt;=_motor!$B$676+0.000000001),"Reguladora",IF(AND(_motor!$C$637&gt;=_motor!$B$668,_motor!$D$637&lt;0.5*_motor!$B$668),"Determinante / entorno",IF(AND(_motor!$C$637&gt;=_motor!$B$668,_motor!$D$637&lt;_motor!$B$668),"Palanca secundaria",IF(AND(_motor!$C$637&gt;=_motor!$B$668,_motor!$D$637&gt;=_motor!$B$668),"Clave / de enlace",IF(AND(_motor!$D$637&gt;=_motor!$B$668,_motor!$C$637&gt;=0.5*_motor!$B$668),"Objetivo",IF(_motor!$D$637&gt;=_motor!$B$668,"Resultado","Autónoma")))))))</f>
        <v/>
      </c>
    </row>
    <row r="58" spans="1:10" x14ac:dyDescent="0.2">
      <c r="A58" s="6" t="str">
        <f>IF(_motor!$B$638=0,"",'02 · Variables'!$B$59)</f>
        <v/>
      </c>
      <c r="B58" s="2" t="str">
        <f>IF(_motor!$B$638=0,"",'02 · Variables'!$C$59)</f>
        <v/>
      </c>
      <c r="C58" s="9" t="str">
        <f>IF(_motor!$B$638=0,"",_motor!$C$638)</f>
        <v/>
      </c>
      <c r="D58" s="9" t="str">
        <f>IF(_motor!$B$638=0,"",_motor!$D$638)</f>
        <v/>
      </c>
      <c r="E58" s="8" t="str">
        <f>IF(OR(_motor!$B$638=0,_motor!$B$672=0),"",_motor!$C$638/_motor!$B$672)</f>
        <v/>
      </c>
      <c r="F58" s="8" t="str">
        <f>IF(OR(_motor!$B$638=0,_motor!$B$672=0),"",_motor!$D$638/_motor!$B$672)</f>
        <v/>
      </c>
      <c r="G58" s="7" t="str">
        <f>IF(_motor!$B$638=0,"",SUMPRODUCT(_motor!$B$586:$B$665*(_motor!$C$586:$C$665&gt;_motor!$C$638))+(SUMPRODUCT(_motor!$B$586:$B$665*(_motor!$C$586:$C$665=_motor!$C$638))+1)/2)</f>
        <v/>
      </c>
      <c r="H58" s="7" t="str">
        <f>IF(_motor!$B$638=0,"",SUMPRODUCT(_motor!$B$586:$B$665*(_motor!$D$586:$D$665&gt;_motor!$D$638))+(SUMPRODUCT(_motor!$B$586:$B$665*(_motor!$D$586:$D$665=_motor!$D$638))+1)/2)</f>
        <v/>
      </c>
      <c r="I58" s="2" t="str">
        <f>IF(_motor!$B$638=0,"",IF(AND(ABS(_motor!$C$638-_motor!$B$668)&lt;=_motor!$B$676+0.000000001,ABS(_motor!$D$638-_motor!$B$668)&lt;=_motor!$B$676+0.000000001),"5 · Pelotón (no concluyente)",IF(AND(_motor!$C$638&gt;=_motor!$B$668,_motor!$D$638&lt;_motor!$B$668),"1 · Entrada / determinante",IF(AND(_motor!$C$638&gt;=_motor!$B$668,_motor!$D$638&gt;=_motor!$B$668),"2 · Intermedia / de enlace",IF(AND(_motor!$C$638&lt;_motor!$B$668,_motor!$D$638&gt;=_motor!$B$668),"3 · Resultado","4 · Excluida / autónoma")))))</f>
        <v/>
      </c>
      <c r="J58" s="2" t="str">
        <f>IF(_motor!$B$638=0,"",IF(AND(ABS(_motor!$C$638-_motor!$B$668)&lt;=_motor!$B$676+0.000000001,ABS(_motor!$D$638-_motor!$B$668)&lt;=_motor!$B$676+0.000000001),"Reguladora",IF(AND(_motor!$C$638&gt;=_motor!$B$668,_motor!$D$638&lt;0.5*_motor!$B$668),"Determinante / entorno",IF(AND(_motor!$C$638&gt;=_motor!$B$668,_motor!$D$638&lt;_motor!$B$668),"Palanca secundaria",IF(AND(_motor!$C$638&gt;=_motor!$B$668,_motor!$D$638&gt;=_motor!$B$668),"Clave / de enlace",IF(AND(_motor!$D$638&gt;=_motor!$B$668,_motor!$C$638&gt;=0.5*_motor!$B$668),"Objetivo",IF(_motor!$D$638&gt;=_motor!$B$668,"Resultado","Autónoma")))))))</f>
        <v/>
      </c>
    </row>
    <row r="59" spans="1:10" x14ac:dyDescent="0.2">
      <c r="A59" s="6" t="str">
        <f>IF(_motor!$B$639=0,"",'02 · Variables'!$B$60)</f>
        <v/>
      </c>
      <c r="B59" s="2" t="str">
        <f>IF(_motor!$B$639=0,"",'02 · Variables'!$C$60)</f>
        <v/>
      </c>
      <c r="C59" s="9" t="str">
        <f>IF(_motor!$B$639=0,"",_motor!$C$639)</f>
        <v/>
      </c>
      <c r="D59" s="9" t="str">
        <f>IF(_motor!$B$639=0,"",_motor!$D$639)</f>
        <v/>
      </c>
      <c r="E59" s="8" t="str">
        <f>IF(OR(_motor!$B$639=0,_motor!$B$672=0),"",_motor!$C$639/_motor!$B$672)</f>
        <v/>
      </c>
      <c r="F59" s="8" t="str">
        <f>IF(OR(_motor!$B$639=0,_motor!$B$672=0),"",_motor!$D$639/_motor!$B$672)</f>
        <v/>
      </c>
      <c r="G59" s="7" t="str">
        <f>IF(_motor!$B$639=0,"",SUMPRODUCT(_motor!$B$586:$B$665*(_motor!$C$586:$C$665&gt;_motor!$C$639))+(SUMPRODUCT(_motor!$B$586:$B$665*(_motor!$C$586:$C$665=_motor!$C$639))+1)/2)</f>
        <v/>
      </c>
      <c r="H59" s="7" t="str">
        <f>IF(_motor!$B$639=0,"",SUMPRODUCT(_motor!$B$586:$B$665*(_motor!$D$586:$D$665&gt;_motor!$D$639))+(SUMPRODUCT(_motor!$B$586:$B$665*(_motor!$D$586:$D$665=_motor!$D$639))+1)/2)</f>
        <v/>
      </c>
      <c r="I59" s="2" t="str">
        <f>IF(_motor!$B$639=0,"",IF(AND(ABS(_motor!$C$639-_motor!$B$668)&lt;=_motor!$B$676+0.000000001,ABS(_motor!$D$639-_motor!$B$668)&lt;=_motor!$B$676+0.000000001),"5 · Pelotón (no concluyente)",IF(AND(_motor!$C$639&gt;=_motor!$B$668,_motor!$D$639&lt;_motor!$B$668),"1 · Entrada / determinante",IF(AND(_motor!$C$639&gt;=_motor!$B$668,_motor!$D$639&gt;=_motor!$B$668),"2 · Intermedia / de enlace",IF(AND(_motor!$C$639&lt;_motor!$B$668,_motor!$D$639&gt;=_motor!$B$668),"3 · Resultado","4 · Excluida / autónoma")))))</f>
        <v/>
      </c>
      <c r="J59" s="2" t="str">
        <f>IF(_motor!$B$639=0,"",IF(AND(ABS(_motor!$C$639-_motor!$B$668)&lt;=_motor!$B$676+0.000000001,ABS(_motor!$D$639-_motor!$B$668)&lt;=_motor!$B$676+0.000000001),"Reguladora",IF(AND(_motor!$C$639&gt;=_motor!$B$668,_motor!$D$639&lt;0.5*_motor!$B$668),"Determinante / entorno",IF(AND(_motor!$C$639&gt;=_motor!$B$668,_motor!$D$639&lt;_motor!$B$668),"Palanca secundaria",IF(AND(_motor!$C$639&gt;=_motor!$B$668,_motor!$D$639&gt;=_motor!$B$668),"Clave / de enlace",IF(AND(_motor!$D$639&gt;=_motor!$B$668,_motor!$C$639&gt;=0.5*_motor!$B$668),"Objetivo",IF(_motor!$D$639&gt;=_motor!$B$668,"Resultado","Autónoma")))))))</f>
        <v/>
      </c>
    </row>
    <row r="60" spans="1:10" x14ac:dyDescent="0.2">
      <c r="A60" s="6" t="str">
        <f>IF(_motor!$B$640=0,"",'02 · Variables'!$B$61)</f>
        <v/>
      </c>
      <c r="B60" s="2" t="str">
        <f>IF(_motor!$B$640=0,"",'02 · Variables'!$C$61)</f>
        <v/>
      </c>
      <c r="C60" s="9" t="str">
        <f>IF(_motor!$B$640=0,"",_motor!$C$640)</f>
        <v/>
      </c>
      <c r="D60" s="9" t="str">
        <f>IF(_motor!$B$640=0,"",_motor!$D$640)</f>
        <v/>
      </c>
      <c r="E60" s="8" t="str">
        <f>IF(OR(_motor!$B$640=0,_motor!$B$672=0),"",_motor!$C$640/_motor!$B$672)</f>
        <v/>
      </c>
      <c r="F60" s="8" t="str">
        <f>IF(OR(_motor!$B$640=0,_motor!$B$672=0),"",_motor!$D$640/_motor!$B$672)</f>
        <v/>
      </c>
      <c r="G60" s="7" t="str">
        <f>IF(_motor!$B$640=0,"",SUMPRODUCT(_motor!$B$586:$B$665*(_motor!$C$586:$C$665&gt;_motor!$C$640))+(SUMPRODUCT(_motor!$B$586:$B$665*(_motor!$C$586:$C$665=_motor!$C$640))+1)/2)</f>
        <v/>
      </c>
      <c r="H60" s="7" t="str">
        <f>IF(_motor!$B$640=0,"",SUMPRODUCT(_motor!$B$586:$B$665*(_motor!$D$586:$D$665&gt;_motor!$D$640))+(SUMPRODUCT(_motor!$B$586:$B$665*(_motor!$D$586:$D$665=_motor!$D$640))+1)/2)</f>
        <v/>
      </c>
      <c r="I60" s="2" t="str">
        <f>IF(_motor!$B$640=0,"",IF(AND(ABS(_motor!$C$640-_motor!$B$668)&lt;=_motor!$B$676+0.000000001,ABS(_motor!$D$640-_motor!$B$668)&lt;=_motor!$B$676+0.000000001),"5 · Pelotón (no concluyente)",IF(AND(_motor!$C$640&gt;=_motor!$B$668,_motor!$D$640&lt;_motor!$B$668),"1 · Entrada / determinante",IF(AND(_motor!$C$640&gt;=_motor!$B$668,_motor!$D$640&gt;=_motor!$B$668),"2 · Intermedia / de enlace",IF(AND(_motor!$C$640&lt;_motor!$B$668,_motor!$D$640&gt;=_motor!$B$668),"3 · Resultado","4 · Excluida / autónoma")))))</f>
        <v/>
      </c>
      <c r="J60" s="2" t="str">
        <f>IF(_motor!$B$640=0,"",IF(AND(ABS(_motor!$C$640-_motor!$B$668)&lt;=_motor!$B$676+0.000000001,ABS(_motor!$D$640-_motor!$B$668)&lt;=_motor!$B$676+0.000000001),"Reguladora",IF(AND(_motor!$C$640&gt;=_motor!$B$668,_motor!$D$640&lt;0.5*_motor!$B$668),"Determinante / entorno",IF(AND(_motor!$C$640&gt;=_motor!$B$668,_motor!$D$640&lt;_motor!$B$668),"Palanca secundaria",IF(AND(_motor!$C$640&gt;=_motor!$B$668,_motor!$D$640&gt;=_motor!$B$668),"Clave / de enlace",IF(AND(_motor!$D$640&gt;=_motor!$B$668,_motor!$C$640&gt;=0.5*_motor!$B$668),"Objetivo",IF(_motor!$D$640&gt;=_motor!$B$668,"Resultado","Autónoma")))))))</f>
        <v/>
      </c>
    </row>
    <row r="61" spans="1:10" x14ac:dyDescent="0.2">
      <c r="A61" s="6" t="str">
        <f>IF(_motor!$B$641=0,"",'02 · Variables'!$B$62)</f>
        <v/>
      </c>
      <c r="B61" s="2" t="str">
        <f>IF(_motor!$B$641=0,"",'02 · Variables'!$C$62)</f>
        <v/>
      </c>
      <c r="C61" s="9" t="str">
        <f>IF(_motor!$B$641=0,"",_motor!$C$641)</f>
        <v/>
      </c>
      <c r="D61" s="9" t="str">
        <f>IF(_motor!$B$641=0,"",_motor!$D$641)</f>
        <v/>
      </c>
      <c r="E61" s="8" t="str">
        <f>IF(OR(_motor!$B$641=0,_motor!$B$672=0),"",_motor!$C$641/_motor!$B$672)</f>
        <v/>
      </c>
      <c r="F61" s="8" t="str">
        <f>IF(OR(_motor!$B$641=0,_motor!$B$672=0),"",_motor!$D$641/_motor!$B$672)</f>
        <v/>
      </c>
      <c r="G61" s="7" t="str">
        <f>IF(_motor!$B$641=0,"",SUMPRODUCT(_motor!$B$586:$B$665*(_motor!$C$586:$C$665&gt;_motor!$C$641))+(SUMPRODUCT(_motor!$B$586:$B$665*(_motor!$C$586:$C$665=_motor!$C$641))+1)/2)</f>
        <v/>
      </c>
      <c r="H61" s="7" t="str">
        <f>IF(_motor!$B$641=0,"",SUMPRODUCT(_motor!$B$586:$B$665*(_motor!$D$586:$D$665&gt;_motor!$D$641))+(SUMPRODUCT(_motor!$B$586:$B$665*(_motor!$D$586:$D$665=_motor!$D$641))+1)/2)</f>
        <v/>
      </c>
      <c r="I61" s="2" t="str">
        <f>IF(_motor!$B$641=0,"",IF(AND(ABS(_motor!$C$641-_motor!$B$668)&lt;=_motor!$B$676+0.000000001,ABS(_motor!$D$641-_motor!$B$668)&lt;=_motor!$B$676+0.000000001),"5 · Pelotón (no concluyente)",IF(AND(_motor!$C$641&gt;=_motor!$B$668,_motor!$D$641&lt;_motor!$B$668),"1 · Entrada / determinante",IF(AND(_motor!$C$641&gt;=_motor!$B$668,_motor!$D$641&gt;=_motor!$B$668),"2 · Intermedia / de enlace",IF(AND(_motor!$C$641&lt;_motor!$B$668,_motor!$D$641&gt;=_motor!$B$668),"3 · Resultado","4 · Excluida / autónoma")))))</f>
        <v/>
      </c>
      <c r="J61" s="2" t="str">
        <f>IF(_motor!$B$641=0,"",IF(AND(ABS(_motor!$C$641-_motor!$B$668)&lt;=_motor!$B$676+0.000000001,ABS(_motor!$D$641-_motor!$B$668)&lt;=_motor!$B$676+0.000000001),"Reguladora",IF(AND(_motor!$C$641&gt;=_motor!$B$668,_motor!$D$641&lt;0.5*_motor!$B$668),"Determinante / entorno",IF(AND(_motor!$C$641&gt;=_motor!$B$668,_motor!$D$641&lt;_motor!$B$668),"Palanca secundaria",IF(AND(_motor!$C$641&gt;=_motor!$B$668,_motor!$D$641&gt;=_motor!$B$668),"Clave / de enlace",IF(AND(_motor!$D$641&gt;=_motor!$B$668,_motor!$C$641&gt;=0.5*_motor!$B$668),"Objetivo",IF(_motor!$D$641&gt;=_motor!$B$668,"Resultado","Autónoma")))))))</f>
        <v/>
      </c>
    </row>
    <row r="62" spans="1:10" x14ac:dyDescent="0.2">
      <c r="A62" s="6" t="str">
        <f>IF(_motor!$B$642=0,"",'02 · Variables'!$B$63)</f>
        <v/>
      </c>
      <c r="B62" s="2" t="str">
        <f>IF(_motor!$B$642=0,"",'02 · Variables'!$C$63)</f>
        <v/>
      </c>
      <c r="C62" s="9" t="str">
        <f>IF(_motor!$B$642=0,"",_motor!$C$642)</f>
        <v/>
      </c>
      <c r="D62" s="9" t="str">
        <f>IF(_motor!$B$642=0,"",_motor!$D$642)</f>
        <v/>
      </c>
      <c r="E62" s="8" t="str">
        <f>IF(OR(_motor!$B$642=0,_motor!$B$672=0),"",_motor!$C$642/_motor!$B$672)</f>
        <v/>
      </c>
      <c r="F62" s="8" t="str">
        <f>IF(OR(_motor!$B$642=0,_motor!$B$672=0),"",_motor!$D$642/_motor!$B$672)</f>
        <v/>
      </c>
      <c r="G62" s="7" t="str">
        <f>IF(_motor!$B$642=0,"",SUMPRODUCT(_motor!$B$586:$B$665*(_motor!$C$586:$C$665&gt;_motor!$C$642))+(SUMPRODUCT(_motor!$B$586:$B$665*(_motor!$C$586:$C$665=_motor!$C$642))+1)/2)</f>
        <v/>
      </c>
      <c r="H62" s="7" t="str">
        <f>IF(_motor!$B$642=0,"",SUMPRODUCT(_motor!$B$586:$B$665*(_motor!$D$586:$D$665&gt;_motor!$D$642))+(SUMPRODUCT(_motor!$B$586:$B$665*(_motor!$D$586:$D$665=_motor!$D$642))+1)/2)</f>
        <v/>
      </c>
      <c r="I62" s="2" t="str">
        <f>IF(_motor!$B$642=0,"",IF(AND(ABS(_motor!$C$642-_motor!$B$668)&lt;=_motor!$B$676+0.000000001,ABS(_motor!$D$642-_motor!$B$668)&lt;=_motor!$B$676+0.000000001),"5 · Pelotón (no concluyente)",IF(AND(_motor!$C$642&gt;=_motor!$B$668,_motor!$D$642&lt;_motor!$B$668),"1 · Entrada / determinante",IF(AND(_motor!$C$642&gt;=_motor!$B$668,_motor!$D$642&gt;=_motor!$B$668),"2 · Intermedia / de enlace",IF(AND(_motor!$C$642&lt;_motor!$B$668,_motor!$D$642&gt;=_motor!$B$668),"3 · Resultado","4 · Excluida / autónoma")))))</f>
        <v/>
      </c>
      <c r="J62" s="2" t="str">
        <f>IF(_motor!$B$642=0,"",IF(AND(ABS(_motor!$C$642-_motor!$B$668)&lt;=_motor!$B$676+0.000000001,ABS(_motor!$D$642-_motor!$B$668)&lt;=_motor!$B$676+0.000000001),"Reguladora",IF(AND(_motor!$C$642&gt;=_motor!$B$668,_motor!$D$642&lt;0.5*_motor!$B$668),"Determinante / entorno",IF(AND(_motor!$C$642&gt;=_motor!$B$668,_motor!$D$642&lt;_motor!$B$668),"Palanca secundaria",IF(AND(_motor!$C$642&gt;=_motor!$B$668,_motor!$D$642&gt;=_motor!$B$668),"Clave / de enlace",IF(AND(_motor!$D$642&gt;=_motor!$B$668,_motor!$C$642&gt;=0.5*_motor!$B$668),"Objetivo",IF(_motor!$D$642&gt;=_motor!$B$668,"Resultado","Autónoma")))))))</f>
        <v/>
      </c>
    </row>
    <row r="63" spans="1:10" x14ac:dyDescent="0.2">
      <c r="A63" s="6" t="str">
        <f>IF(_motor!$B$643=0,"",'02 · Variables'!$B$64)</f>
        <v/>
      </c>
      <c r="B63" s="2" t="str">
        <f>IF(_motor!$B$643=0,"",'02 · Variables'!$C$64)</f>
        <v/>
      </c>
      <c r="C63" s="9" t="str">
        <f>IF(_motor!$B$643=0,"",_motor!$C$643)</f>
        <v/>
      </c>
      <c r="D63" s="9" t="str">
        <f>IF(_motor!$B$643=0,"",_motor!$D$643)</f>
        <v/>
      </c>
      <c r="E63" s="8" t="str">
        <f>IF(OR(_motor!$B$643=0,_motor!$B$672=0),"",_motor!$C$643/_motor!$B$672)</f>
        <v/>
      </c>
      <c r="F63" s="8" t="str">
        <f>IF(OR(_motor!$B$643=0,_motor!$B$672=0),"",_motor!$D$643/_motor!$B$672)</f>
        <v/>
      </c>
      <c r="G63" s="7" t="str">
        <f>IF(_motor!$B$643=0,"",SUMPRODUCT(_motor!$B$586:$B$665*(_motor!$C$586:$C$665&gt;_motor!$C$643))+(SUMPRODUCT(_motor!$B$586:$B$665*(_motor!$C$586:$C$665=_motor!$C$643))+1)/2)</f>
        <v/>
      </c>
      <c r="H63" s="7" t="str">
        <f>IF(_motor!$B$643=0,"",SUMPRODUCT(_motor!$B$586:$B$665*(_motor!$D$586:$D$665&gt;_motor!$D$643))+(SUMPRODUCT(_motor!$B$586:$B$665*(_motor!$D$586:$D$665=_motor!$D$643))+1)/2)</f>
        <v/>
      </c>
      <c r="I63" s="2" t="str">
        <f>IF(_motor!$B$643=0,"",IF(AND(ABS(_motor!$C$643-_motor!$B$668)&lt;=_motor!$B$676+0.000000001,ABS(_motor!$D$643-_motor!$B$668)&lt;=_motor!$B$676+0.000000001),"5 · Pelotón (no concluyente)",IF(AND(_motor!$C$643&gt;=_motor!$B$668,_motor!$D$643&lt;_motor!$B$668),"1 · Entrada / determinante",IF(AND(_motor!$C$643&gt;=_motor!$B$668,_motor!$D$643&gt;=_motor!$B$668),"2 · Intermedia / de enlace",IF(AND(_motor!$C$643&lt;_motor!$B$668,_motor!$D$643&gt;=_motor!$B$668),"3 · Resultado","4 · Excluida / autónoma")))))</f>
        <v/>
      </c>
      <c r="J63" s="2" t="str">
        <f>IF(_motor!$B$643=0,"",IF(AND(ABS(_motor!$C$643-_motor!$B$668)&lt;=_motor!$B$676+0.000000001,ABS(_motor!$D$643-_motor!$B$668)&lt;=_motor!$B$676+0.000000001),"Reguladora",IF(AND(_motor!$C$643&gt;=_motor!$B$668,_motor!$D$643&lt;0.5*_motor!$B$668),"Determinante / entorno",IF(AND(_motor!$C$643&gt;=_motor!$B$668,_motor!$D$643&lt;_motor!$B$668),"Palanca secundaria",IF(AND(_motor!$C$643&gt;=_motor!$B$668,_motor!$D$643&gt;=_motor!$B$668),"Clave / de enlace",IF(AND(_motor!$D$643&gt;=_motor!$B$668,_motor!$C$643&gt;=0.5*_motor!$B$668),"Objetivo",IF(_motor!$D$643&gt;=_motor!$B$668,"Resultado","Autónoma")))))))</f>
        <v/>
      </c>
    </row>
    <row r="64" spans="1:10" x14ac:dyDescent="0.2">
      <c r="A64" s="6" t="str">
        <f>IF(_motor!$B$644=0,"",'02 · Variables'!$B$65)</f>
        <v/>
      </c>
      <c r="B64" s="2" t="str">
        <f>IF(_motor!$B$644=0,"",'02 · Variables'!$C$65)</f>
        <v/>
      </c>
      <c r="C64" s="9" t="str">
        <f>IF(_motor!$B$644=0,"",_motor!$C$644)</f>
        <v/>
      </c>
      <c r="D64" s="9" t="str">
        <f>IF(_motor!$B$644=0,"",_motor!$D$644)</f>
        <v/>
      </c>
      <c r="E64" s="8" t="str">
        <f>IF(OR(_motor!$B$644=0,_motor!$B$672=0),"",_motor!$C$644/_motor!$B$672)</f>
        <v/>
      </c>
      <c r="F64" s="8" t="str">
        <f>IF(OR(_motor!$B$644=0,_motor!$B$672=0),"",_motor!$D$644/_motor!$B$672)</f>
        <v/>
      </c>
      <c r="G64" s="7" t="str">
        <f>IF(_motor!$B$644=0,"",SUMPRODUCT(_motor!$B$586:$B$665*(_motor!$C$586:$C$665&gt;_motor!$C$644))+(SUMPRODUCT(_motor!$B$586:$B$665*(_motor!$C$586:$C$665=_motor!$C$644))+1)/2)</f>
        <v/>
      </c>
      <c r="H64" s="7" t="str">
        <f>IF(_motor!$B$644=0,"",SUMPRODUCT(_motor!$B$586:$B$665*(_motor!$D$586:$D$665&gt;_motor!$D$644))+(SUMPRODUCT(_motor!$B$586:$B$665*(_motor!$D$586:$D$665=_motor!$D$644))+1)/2)</f>
        <v/>
      </c>
      <c r="I64" s="2" t="str">
        <f>IF(_motor!$B$644=0,"",IF(AND(ABS(_motor!$C$644-_motor!$B$668)&lt;=_motor!$B$676+0.000000001,ABS(_motor!$D$644-_motor!$B$668)&lt;=_motor!$B$676+0.000000001),"5 · Pelotón (no concluyente)",IF(AND(_motor!$C$644&gt;=_motor!$B$668,_motor!$D$644&lt;_motor!$B$668),"1 · Entrada / determinante",IF(AND(_motor!$C$644&gt;=_motor!$B$668,_motor!$D$644&gt;=_motor!$B$668),"2 · Intermedia / de enlace",IF(AND(_motor!$C$644&lt;_motor!$B$668,_motor!$D$644&gt;=_motor!$B$668),"3 · Resultado","4 · Excluida / autónoma")))))</f>
        <v/>
      </c>
      <c r="J64" s="2" t="str">
        <f>IF(_motor!$B$644=0,"",IF(AND(ABS(_motor!$C$644-_motor!$B$668)&lt;=_motor!$B$676+0.000000001,ABS(_motor!$D$644-_motor!$B$668)&lt;=_motor!$B$676+0.000000001),"Reguladora",IF(AND(_motor!$C$644&gt;=_motor!$B$668,_motor!$D$644&lt;0.5*_motor!$B$668),"Determinante / entorno",IF(AND(_motor!$C$644&gt;=_motor!$B$668,_motor!$D$644&lt;_motor!$B$668),"Palanca secundaria",IF(AND(_motor!$C$644&gt;=_motor!$B$668,_motor!$D$644&gt;=_motor!$B$668),"Clave / de enlace",IF(AND(_motor!$D$644&gt;=_motor!$B$668,_motor!$C$644&gt;=0.5*_motor!$B$668),"Objetivo",IF(_motor!$D$644&gt;=_motor!$B$668,"Resultado","Autónoma")))))))</f>
        <v/>
      </c>
    </row>
    <row r="65" spans="1:10" x14ac:dyDescent="0.2">
      <c r="A65" s="6" t="str">
        <f>IF(_motor!$B$645=0,"",'02 · Variables'!$B$66)</f>
        <v/>
      </c>
      <c r="B65" s="2" t="str">
        <f>IF(_motor!$B$645=0,"",'02 · Variables'!$C$66)</f>
        <v/>
      </c>
      <c r="C65" s="9" t="str">
        <f>IF(_motor!$B$645=0,"",_motor!$C$645)</f>
        <v/>
      </c>
      <c r="D65" s="9" t="str">
        <f>IF(_motor!$B$645=0,"",_motor!$D$645)</f>
        <v/>
      </c>
      <c r="E65" s="8" t="str">
        <f>IF(OR(_motor!$B$645=0,_motor!$B$672=0),"",_motor!$C$645/_motor!$B$672)</f>
        <v/>
      </c>
      <c r="F65" s="8" t="str">
        <f>IF(OR(_motor!$B$645=0,_motor!$B$672=0),"",_motor!$D$645/_motor!$B$672)</f>
        <v/>
      </c>
      <c r="G65" s="7" t="str">
        <f>IF(_motor!$B$645=0,"",SUMPRODUCT(_motor!$B$586:$B$665*(_motor!$C$586:$C$665&gt;_motor!$C$645))+(SUMPRODUCT(_motor!$B$586:$B$665*(_motor!$C$586:$C$665=_motor!$C$645))+1)/2)</f>
        <v/>
      </c>
      <c r="H65" s="7" t="str">
        <f>IF(_motor!$B$645=0,"",SUMPRODUCT(_motor!$B$586:$B$665*(_motor!$D$586:$D$665&gt;_motor!$D$645))+(SUMPRODUCT(_motor!$B$586:$B$665*(_motor!$D$586:$D$665=_motor!$D$645))+1)/2)</f>
        <v/>
      </c>
      <c r="I65" s="2" t="str">
        <f>IF(_motor!$B$645=0,"",IF(AND(ABS(_motor!$C$645-_motor!$B$668)&lt;=_motor!$B$676+0.000000001,ABS(_motor!$D$645-_motor!$B$668)&lt;=_motor!$B$676+0.000000001),"5 · Pelotón (no concluyente)",IF(AND(_motor!$C$645&gt;=_motor!$B$668,_motor!$D$645&lt;_motor!$B$668),"1 · Entrada / determinante",IF(AND(_motor!$C$645&gt;=_motor!$B$668,_motor!$D$645&gt;=_motor!$B$668),"2 · Intermedia / de enlace",IF(AND(_motor!$C$645&lt;_motor!$B$668,_motor!$D$645&gt;=_motor!$B$668),"3 · Resultado","4 · Excluida / autónoma")))))</f>
        <v/>
      </c>
      <c r="J65" s="2" t="str">
        <f>IF(_motor!$B$645=0,"",IF(AND(ABS(_motor!$C$645-_motor!$B$668)&lt;=_motor!$B$676+0.000000001,ABS(_motor!$D$645-_motor!$B$668)&lt;=_motor!$B$676+0.000000001),"Reguladora",IF(AND(_motor!$C$645&gt;=_motor!$B$668,_motor!$D$645&lt;0.5*_motor!$B$668),"Determinante / entorno",IF(AND(_motor!$C$645&gt;=_motor!$B$668,_motor!$D$645&lt;_motor!$B$668),"Palanca secundaria",IF(AND(_motor!$C$645&gt;=_motor!$B$668,_motor!$D$645&gt;=_motor!$B$668),"Clave / de enlace",IF(AND(_motor!$D$645&gt;=_motor!$B$668,_motor!$C$645&gt;=0.5*_motor!$B$668),"Objetivo",IF(_motor!$D$645&gt;=_motor!$B$668,"Resultado","Autónoma")))))))</f>
        <v/>
      </c>
    </row>
    <row r="66" spans="1:10" x14ac:dyDescent="0.2">
      <c r="A66" s="6" t="str">
        <f>IF(_motor!$B$646=0,"",'02 · Variables'!$B$67)</f>
        <v/>
      </c>
      <c r="B66" s="2" t="str">
        <f>IF(_motor!$B$646=0,"",'02 · Variables'!$C$67)</f>
        <v/>
      </c>
      <c r="C66" s="9" t="str">
        <f>IF(_motor!$B$646=0,"",_motor!$C$646)</f>
        <v/>
      </c>
      <c r="D66" s="9" t="str">
        <f>IF(_motor!$B$646=0,"",_motor!$D$646)</f>
        <v/>
      </c>
      <c r="E66" s="8" t="str">
        <f>IF(OR(_motor!$B$646=0,_motor!$B$672=0),"",_motor!$C$646/_motor!$B$672)</f>
        <v/>
      </c>
      <c r="F66" s="8" t="str">
        <f>IF(OR(_motor!$B$646=0,_motor!$B$672=0),"",_motor!$D$646/_motor!$B$672)</f>
        <v/>
      </c>
      <c r="G66" s="7" t="str">
        <f>IF(_motor!$B$646=0,"",SUMPRODUCT(_motor!$B$586:$B$665*(_motor!$C$586:$C$665&gt;_motor!$C$646))+(SUMPRODUCT(_motor!$B$586:$B$665*(_motor!$C$586:$C$665=_motor!$C$646))+1)/2)</f>
        <v/>
      </c>
      <c r="H66" s="7" t="str">
        <f>IF(_motor!$B$646=0,"",SUMPRODUCT(_motor!$B$586:$B$665*(_motor!$D$586:$D$665&gt;_motor!$D$646))+(SUMPRODUCT(_motor!$B$586:$B$665*(_motor!$D$586:$D$665=_motor!$D$646))+1)/2)</f>
        <v/>
      </c>
      <c r="I66" s="2" t="str">
        <f>IF(_motor!$B$646=0,"",IF(AND(ABS(_motor!$C$646-_motor!$B$668)&lt;=_motor!$B$676+0.000000001,ABS(_motor!$D$646-_motor!$B$668)&lt;=_motor!$B$676+0.000000001),"5 · Pelotón (no concluyente)",IF(AND(_motor!$C$646&gt;=_motor!$B$668,_motor!$D$646&lt;_motor!$B$668),"1 · Entrada / determinante",IF(AND(_motor!$C$646&gt;=_motor!$B$668,_motor!$D$646&gt;=_motor!$B$668),"2 · Intermedia / de enlace",IF(AND(_motor!$C$646&lt;_motor!$B$668,_motor!$D$646&gt;=_motor!$B$668),"3 · Resultado","4 · Excluida / autónoma")))))</f>
        <v/>
      </c>
      <c r="J66" s="2" t="str">
        <f>IF(_motor!$B$646=0,"",IF(AND(ABS(_motor!$C$646-_motor!$B$668)&lt;=_motor!$B$676+0.000000001,ABS(_motor!$D$646-_motor!$B$668)&lt;=_motor!$B$676+0.000000001),"Reguladora",IF(AND(_motor!$C$646&gt;=_motor!$B$668,_motor!$D$646&lt;0.5*_motor!$B$668),"Determinante / entorno",IF(AND(_motor!$C$646&gt;=_motor!$B$668,_motor!$D$646&lt;_motor!$B$668),"Palanca secundaria",IF(AND(_motor!$C$646&gt;=_motor!$B$668,_motor!$D$646&gt;=_motor!$B$668),"Clave / de enlace",IF(AND(_motor!$D$646&gt;=_motor!$B$668,_motor!$C$646&gt;=0.5*_motor!$B$668),"Objetivo",IF(_motor!$D$646&gt;=_motor!$B$668,"Resultado","Autónoma")))))))</f>
        <v/>
      </c>
    </row>
    <row r="67" spans="1:10" x14ac:dyDescent="0.2">
      <c r="A67" s="6" t="str">
        <f>IF(_motor!$B$647=0,"",'02 · Variables'!$B$68)</f>
        <v/>
      </c>
      <c r="B67" s="2" t="str">
        <f>IF(_motor!$B$647=0,"",'02 · Variables'!$C$68)</f>
        <v/>
      </c>
      <c r="C67" s="9" t="str">
        <f>IF(_motor!$B$647=0,"",_motor!$C$647)</f>
        <v/>
      </c>
      <c r="D67" s="9" t="str">
        <f>IF(_motor!$B$647=0,"",_motor!$D$647)</f>
        <v/>
      </c>
      <c r="E67" s="8" t="str">
        <f>IF(OR(_motor!$B$647=0,_motor!$B$672=0),"",_motor!$C$647/_motor!$B$672)</f>
        <v/>
      </c>
      <c r="F67" s="8" t="str">
        <f>IF(OR(_motor!$B$647=0,_motor!$B$672=0),"",_motor!$D$647/_motor!$B$672)</f>
        <v/>
      </c>
      <c r="G67" s="7" t="str">
        <f>IF(_motor!$B$647=0,"",SUMPRODUCT(_motor!$B$586:$B$665*(_motor!$C$586:$C$665&gt;_motor!$C$647))+(SUMPRODUCT(_motor!$B$586:$B$665*(_motor!$C$586:$C$665=_motor!$C$647))+1)/2)</f>
        <v/>
      </c>
      <c r="H67" s="7" t="str">
        <f>IF(_motor!$B$647=0,"",SUMPRODUCT(_motor!$B$586:$B$665*(_motor!$D$586:$D$665&gt;_motor!$D$647))+(SUMPRODUCT(_motor!$B$586:$B$665*(_motor!$D$586:$D$665=_motor!$D$647))+1)/2)</f>
        <v/>
      </c>
      <c r="I67" s="2" t="str">
        <f>IF(_motor!$B$647=0,"",IF(AND(ABS(_motor!$C$647-_motor!$B$668)&lt;=_motor!$B$676+0.000000001,ABS(_motor!$D$647-_motor!$B$668)&lt;=_motor!$B$676+0.000000001),"5 · Pelotón (no concluyente)",IF(AND(_motor!$C$647&gt;=_motor!$B$668,_motor!$D$647&lt;_motor!$B$668),"1 · Entrada / determinante",IF(AND(_motor!$C$647&gt;=_motor!$B$668,_motor!$D$647&gt;=_motor!$B$668),"2 · Intermedia / de enlace",IF(AND(_motor!$C$647&lt;_motor!$B$668,_motor!$D$647&gt;=_motor!$B$668),"3 · Resultado","4 · Excluida / autónoma")))))</f>
        <v/>
      </c>
      <c r="J67" s="2" t="str">
        <f>IF(_motor!$B$647=0,"",IF(AND(ABS(_motor!$C$647-_motor!$B$668)&lt;=_motor!$B$676+0.000000001,ABS(_motor!$D$647-_motor!$B$668)&lt;=_motor!$B$676+0.000000001),"Reguladora",IF(AND(_motor!$C$647&gt;=_motor!$B$668,_motor!$D$647&lt;0.5*_motor!$B$668),"Determinante / entorno",IF(AND(_motor!$C$647&gt;=_motor!$B$668,_motor!$D$647&lt;_motor!$B$668),"Palanca secundaria",IF(AND(_motor!$C$647&gt;=_motor!$B$668,_motor!$D$647&gt;=_motor!$B$668),"Clave / de enlace",IF(AND(_motor!$D$647&gt;=_motor!$B$668,_motor!$C$647&gt;=0.5*_motor!$B$668),"Objetivo",IF(_motor!$D$647&gt;=_motor!$B$668,"Resultado","Autónoma")))))))</f>
        <v/>
      </c>
    </row>
    <row r="68" spans="1:10" x14ac:dyDescent="0.2">
      <c r="A68" s="6" t="str">
        <f>IF(_motor!$B$648=0,"",'02 · Variables'!$B$69)</f>
        <v/>
      </c>
      <c r="B68" s="2" t="str">
        <f>IF(_motor!$B$648=0,"",'02 · Variables'!$C$69)</f>
        <v/>
      </c>
      <c r="C68" s="9" t="str">
        <f>IF(_motor!$B$648=0,"",_motor!$C$648)</f>
        <v/>
      </c>
      <c r="D68" s="9" t="str">
        <f>IF(_motor!$B$648=0,"",_motor!$D$648)</f>
        <v/>
      </c>
      <c r="E68" s="8" t="str">
        <f>IF(OR(_motor!$B$648=0,_motor!$B$672=0),"",_motor!$C$648/_motor!$B$672)</f>
        <v/>
      </c>
      <c r="F68" s="8" t="str">
        <f>IF(OR(_motor!$B$648=0,_motor!$B$672=0),"",_motor!$D$648/_motor!$B$672)</f>
        <v/>
      </c>
      <c r="G68" s="7" t="str">
        <f>IF(_motor!$B$648=0,"",SUMPRODUCT(_motor!$B$586:$B$665*(_motor!$C$586:$C$665&gt;_motor!$C$648))+(SUMPRODUCT(_motor!$B$586:$B$665*(_motor!$C$586:$C$665=_motor!$C$648))+1)/2)</f>
        <v/>
      </c>
      <c r="H68" s="7" t="str">
        <f>IF(_motor!$B$648=0,"",SUMPRODUCT(_motor!$B$586:$B$665*(_motor!$D$586:$D$665&gt;_motor!$D$648))+(SUMPRODUCT(_motor!$B$586:$B$665*(_motor!$D$586:$D$665=_motor!$D$648))+1)/2)</f>
        <v/>
      </c>
      <c r="I68" s="2" t="str">
        <f>IF(_motor!$B$648=0,"",IF(AND(ABS(_motor!$C$648-_motor!$B$668)&lt;=_motor!$B$676+0.000000001,ABS(_motor!$D$648-_motor!$B$668)&lt;=_motor!$B$676+0.000000001),"5 · Pelotón (no concluyente)",IF(AND(_motor!$C$648&gt;=_motor!$B$668,_motor!$D$648&lt;_motor!$B$668),"1 · Entrada / determinante",IF(AND(_motor!$C$648&gt;=_motor!$B$668,_motor!$D$648&gt;=_motor!$B$668),"2 · Intermedia / de enlace",IF(AND(_motor!$C$648&lt;_motor!$B$668,_motor!$D$648&gt;=_motor!$B$668),"3 · Resultado","4 · Excluida / autónoma")))))</f>
        <v/>
      </c>
      <c r="J68" s="2" t="str">
        <f>IF(_motor!$B$648=0,"",IF(AND(ABS(_motor!$C$648-_motor!$B$668)&lt;=_motor!$B$676+0.000000001,ABS(_motor!$D$648-_motor!$B$668)&lt;=_motor!$B$676+0.000000001),"Reguladora",IF(AND(_motor!$C$648&gt;=_motor!$B$668,_motor!$D$648&lt;0.5*_motor!$B$668),"Determinante / entorno",IF(AND(_motor!$C$648&gt;=_motor!$B$668,_motor!$D$648&lt;_motor!$B$668),"Palanca secundaria",IF(AND(_motor!$C$648&gt;=_motor!$B$668,_motor!$D$648&gt;=_motor!$B$668),"Clave / de enlace",IF(AND(_motor!$D$648&gt;=_motor!$B$668,_motor!$C$648&gt;=0.5*_motor!$B$668),"Objetivo",IF(_motor!$D$648&gt;=_motor!$B$668,"Resultado","Autónoma")))))))</f>
        <v/>
      </c>
    </row>
    <row r="69" spans="1:10" x14ac:dyDescent="0.2">
      <c r="A69" s="6" t="str">
        <f>IF(_motor!$B$649=0,"",'02 · Variables'!$B$70)</f>
        <v/>
      </c>
      <c r="B69" s="2" t="str">
        <f>IF(_motor!$B$649=0,"",'02 · Variables'!$C$70)</f>
        <v/>
      </c>
      <c r="C69" s="9" t="str">
        <f>IF(_motor!$B$649=0,"",_motor!$C$649)</f>
        <v/>
      </c>
      <c r="D69" s="9" t="str">
        <f>IF(_motor!$B$649=0,"",_motor!$D$649)</f>
        <v/>
      </c>
      <c r="E69" s="8" t="str">
        <f>IF(OR(_motor!$B$649=0,_motor!$B$672=0),"",_motor!$C$649/_motor!$B$672)</f>
        <v/>
      </c>
      <c r="F69" s="8" t="str">
        <f>IF(OR(_motor!$B$649=0,_motor!$B$672=0),"",_motor!$D$649/_motor!$B$672)</f>
        <v/>
      </c>
      <c r="G69" s="7" t="str">
        <f>IF(_motor!$B$649=0,"",SUMPRODUCT(_motor!$B$586:$B$665*(_motor!$C$586:$C$665&gt;_motor!$C$649))+(SUMPRODUCT(_motor!$B$586:$B$665*(_motor!$C$586:$C$665=_motor!$C$649))+1)/2)</f>
        <v/>
      </c>
      <c r="H69" s="7" t="str">
        <f>IF(_motor!$B$649=0,"",SUMPRODUCT(_motor!$B$586:$B$665*(_motor!$D$586:$D$665&gt;_motor!$D$649))+(SUMPRODUCT(_motor!$B$586:$B$665*(_motor!$D$586:$D$665=_motor!$D$649))+1)/2)</f>
        <v/>
      </c>
      <c r="I69" s="2" t="str">
        <f>IF(_motor!$B$649=0,"",IF(AND(ABS(_motor!$C$649-_motor!$B$668)&lt;=_motor!$B$676+0.000000001,ABS(_motor!$D$649-_motor!$B$668)&lt;=_motor!$B$676+0.000000001),"5 · Pelotón (no concluyente)",IF(AND(_motor!$C$649&gt;=_motor!$B$668,_motor!$D$649&lt;_motor!$B$668),"1 · Entrada / determinante",IF(AND(_motor!$C$649&gt;=_motor!$B$668,_motor!$D$649&gt;=_motor!$B$668),"2 · Intermedia / de enlace",IF(AND(_motor!$C$649&lt;_motor!$B$668,_motor!$D$649&gt;=_motor!$B$668),"3 · Resultado","4 · Excluida / autónoma")))))</f>
        <v/>
      </c>
      <c r="J69" s="2" t="str">
        <f>IF(_motor!$B$649=0,"",IF(AND(ABS(_motor!$C$649-_motor!$B$668)&lt;=_motor!$B$676+0.000000001,ABS(_motor!$D$649-_motor!$B$668)&lt;=_motor!$B$676+0.000000001),"Reguladora",IF(AND(_motor!$C$649&gt;=_motor!$B$668,_motor!$D$649&lt;0.5*_motor!$B$668),"Determinante / entorno",IF(AND(_motor!$C$649&gt;=_motor!$B$668,_motor!$D$649&lt;_motor!$B$668),"Palanca secundaria",IF(AND(_motor!$C$649&gt;=_motor!$B$668,_motor!$D$649&gt;=_motor!$B$668),"Clave / de enlace",IF(AND(_motor!$D$649&gt;=_motor!$B$668,_motor!$C$649&gt;=0.5*_motor!$B$668),"Objetivo",IF(_motor!$D$649&gt;=_motor!$B$668,"Resultado","Autónoma")))))))</f>
        <v/>
      </c>
    </row>
    <row r="70" spans="1:10" x14ac:dyDescent="0.2">
      <c r="A70" s="6" t="str">
        <f>IF(_motor!$B$650=0,"",'02 · Variables'!$B$71)</f>
        <v/>
      </c>
      <c r="B70" s="2" t="str">
        <f>IF(_motor!$B$650=0,"",'02 · Variables'!$C$71)</f>
        <v/>
      </c>
      <c r="C70" s="9" t="str">
        <f>IF(_motor!$B$650=0,"",_motor!$C$650)</f>
        <v/>
      </c>
      <c r="D70" s="9" t="str">
        <f>IF(_motor!$B$650=0,"",_motor!$D$650)</f>
        <v/>
      </c>
      <c r="E70" s="8" t="str">
        <f>IF(OR(_motor!$B$650=0,_motor!$B$672=0),"",_motor!$C$650/_motor!$B$672)</f>
        <v/>
      </c>
      <c r="F70" s="8" t="str">
        <f>IF(OR(_motor!$B$650=0,_motor!$B$672=0),"",_motor!$D$650/_motor!$B$672)</f>
        <v/>
      </c>
      <c r="G70" s="7" t="str">
        <f>IF(_motor!$B$650=0,"",SUMPRODUCT(_motor!$B$586:$B$665*(_motor!$C$586:$C$665&gt;_motor!$C$650))+(SUMPRODUCT(_motor!$B$586:$B$665*(_motor!$C$586:$C$665=_motor!$C$650))+1)/2)</f>
        <v/>
      </c>
      <c r="H70" s="7" t="str">
        <f>IF(_motor!$B$650=0,"",SUMPRODUCT(_motor!$B$586:$B$665*(_motor!$D$586:$D$665&gt;_motor!$D$650))+(SUMPRODUCT(_motor!$B$586:$B$665*(_motor!$D$586:$D$665=_motor!$D$650))+1)/2)</f>
        <v/>
      </c>
      <c r="I70" s="2" t="str">
        <f>IF(_motor!$B$650=0,"",IF(AND(ABS(_motor!$C$650-_motor!$B$668)&lt;=_motor!$B$676+0.000000001,ABS(_motor!$D$650-_motor!$B$668)&lt;=_motor!$B$676+0.000000001),"5 · Pelotón (no concluyente)",IF(AND(_motor!$C$650&gt;=_motor!$B$668,_motor!$D$650&lt;_motor!$B$668),"1 · Entrada / determinante",IF(AND(_motor!$C$650&gt;=_motor!$B$668,_motor!$D$650&gt;=_motor!$B$668),"2 · Intermedia / de enlace",IF(AND(_motor!$C$650&lt;_motor!$B$668,_motor!$D$650&gt;=_motor!$B$668),"3 · Resultado","4 · Excluida / autónoma")))))</f>
        <v/>
      </c>
      <c r="J70" s="2" t="str">
        <f>IF(_motor!$B$650=0,"",IF(AND(ABS(_motor!$C$650-_motor!$B$668)&lt;=_motor!$B$676+0.000000001,ABS(_motor!$D$650-_motor!$B$668)&lt;=_motor!$B$676+0.000000001),"Reguladora",IF(AND(_motor!$C$650&gt;=_motor!$B$668,_motor!$D$650&lt;0.5*_motor!$B$668),"Determinante / entorno",IF(AND(_motor!$C$650&gt;=_motor!$B$668,_motor!$D$650&lt;_motor!$B$668),"Palanca secundaria",IF(AND(_motor!$C$650&gt;=_motor!$B$668,_motor!$D$650&gt;=_motor!$B$668),"Clave / de enlace",IF(AND(_motor!$D$650&gt;=_motor!$B$668,_motor!$C$650&gt;=0.5*_motor!$B$668),"Objetivo",IF(_motor!$D$650&gt;=_motor!$B$668,"Resultado","Autónoma")))))))</f>
        <v/>
      </c>
    </row>
    <row r="71" spans="1:10" x14ac:dyDescent="0.2">
      <c r="A71" s="6" t="str">
        <f>IF(_motor!$B$651=0,"",'02 · Variables'!$B$72)</f>
        <v/>
      </c>
      <c r="B71" s="2" t="str">
        <f>IF(_motor!$B$651=0,"",'02 · Variables'!$C$72)</f>
        <v/>
      </c>
      <c r="C71" s="9" t="str">
        <f>IF(_motor!$B$651=0,"",_motor!$C$651)</f>
        <v/>
      </c>
      <c r="D71" s="9" t="str">
        <f>IF(_motor!$B$651=0,"",_motor!$D$651)</f>
        <v/>
      </c>
      <c r="E71" s="8" t="str">
        <f>IF(OR(_motor!$B$651=0,_motor!$B$672=0),"",_motor!$C$651/_motor!$B$672)</f>
        <v/>
      </c>
      <c r="F71" s="8" t="str">
        <f>IF(OR(_motor!$B$651=0,_motor!$B$672=0),"",_motor!$D$651/_motor!$B$672)</f>
        <v/>
      </c>
      <c r="G71" s="7" t="str">
        <f>IF(_motor!$B$651=0,"",SUMPRODUCT(_motor!$B$586:$B$665*(_motor!$C$586:$C$665&gt;_motor!$C$651))+(SUMPRODUCT(_motor!$B$586:$B$665*(_motor!$C$586:$C$665=_motor!$C$651))+1)/2)</f>
        <v/>
      </c>
      <c r="H71" s="7" t="str">
        <f>IF(_motor!$B$651=0,"",SUMPRODUCT(_motor!$B$586:$B$665*(_motor!$D$586:$D$665&gt;_motor!$D$651))+(SUMPRODUCT(_motor!$B$586:$B$665*(_motor!$D$586:$D$665=_motor!$D$651))+1)/2)</f>
        <v/>
      </c>
      <c r="I71" s="2" t="str">
        <f>IF(_motor!$B$651=0,"",IF(AND(ABS(_motor!$C$651-_motor!$B$668)&lt;=_motor!$B$676+0.000000001,ABS(_motor!$D$651-_motor!$B$668)&lt;=_motor!$B$676+0.000000001),"5 · Pelotón (no concluyente)",IF(AND(_motor!$C$651&gt;=_motor!$B$668,_motor!$D$651&lt;_motor!$B$668),"1 · Entrada / determinante",IF(AND(_motor!$C$651&gt;=_motor!$B$668,_motor!$D$651&gt;=_motor!$B$668),"2 · Intermedia / de enlace",IF(AND(_motor!$C$651&lt;_motor!$B$668,_motor!$D$651&gt;=_motor!$B$668),"3 · Resultado","4 · Excluida / autónoma")))))</f>
        <v/>
      </c>
      <c r="J71" s="2" t="str">
        <f>IF(_motor!$B$651=0,"",IF(AND(ABS(_motor!$C$651-_motor!$B$668)&lt;=_motor!$B$676+0.000000001,ABS(_motor!$D$651-_motor!$B$668)&lt;=_motor!$B$676+0.000000001),"Reguladora",IF(AND(_motor!$C$651&gt;=_motor!$B$668,_motor!$D$651&lt;0.5*_motor!$B$668),"Determinante / entorno",IF(AND(_motor!$C$651&gt;=_motor!$B$668,_motor!$D$651&lt;_motor!$B$668),"Palanca secundaria",IF(AND(_motor!$C$651&gt;=_motor!$B$668,_motor!$D$651&gt;=_motor!$B$668),"Clave / de enlace",IF(AND(_motor!$D$651&gt;=_motor!$B$668,_motor!$C$651&gt;=0.5*_motor!$B$668),"Objetivo",IF(_motor!$D$651&gt;=_motor!$B$668,"Resultado","Autónoma")))))))</f>
        <v/>
      </c>
    </row>
    <row r="72" spans="1:10" x14ac:dyDescent="0.2">
      <c r="A72" s="6" t="str">
        <f>IF(_motor!$B$652=0,"",'02 · Variables'!$B$73)</f>
        <v/>
      </c>
      <c r="B72" s="2" t="str">
        <f>IF(_motor!$B$652=0,"",'02 · Variables'!$C$73)</f>
        <v/>
      </c>
      <c r="C72" s="9" t="str">
        <f>IF(_motor!$B$652=0,"",_motor!$C$652)</f>
        <v/>
      </c>
      <c r="D72" s="9" t="str">
        <f>IF(_motor!$B$652=0,"",_motor!$D$652)</f>
        <v/>
      </c>
      <c r="E72" s="8" t="str">
        <f>IF(OR(_motor!$B$652=0,_motor!$B$672=0),"",_motor!$C$652/_motor!$B$672)</f>
        <v/>
      </c>
      <c r="F72" s="8" t="str">
        <f>IF(OR(_motor!$B$652=0,_motor!$B$672=0),"",_motor!$D$652/_motor!$B$672)</f>
        <v/>
      </c>
      <c r="G72" s="7" t="str">
        <f>IF(_motor!$B$652=0,"",SUMPRODUCT(_motor!$B$586:$B$665*(_motor!$C$586:$C$665&gt;_motor!$C$652))+(SUMPRODUCT(_motor!$B$586:$B$665*(_motor!$C$586:$C$665=_motor!$C$652))+1)/2)</f>
        <v/>
      </c>
      <c r="H72" s="7" t="str">
        <f>IF(_motor!$B$652=0,"",SUMPRODUCT(_motor!$B$586:$B$665*(_motor!$D$586:$D$665&gt;_motor!$D$652))+(SUMPRODUCT(_motor!$B$586:$B$665*(_motor!$D$586:$D$665=_motor!$D$652))+1)/2)</f>
        <v/>
      </c>
      <c r="I72" s="2" t="str">
        <f>IF(_motor!$B$652=0,"",IF(AND(ABS(_motor!$C$652-_motor!$B$668)&lt;=_motor!$B$676+0.000000001,ABS(_motor!$D$652-_motor!$B$668)&lt;=_motor!$B$676+0.000000001),"5 · Pelotón (no concluyente)",IF(AND(_motor!$C$652&gt;=_motor!$B$668,_motor!$D$652&lt;_motor!$B$668),"1 · Entrada / determinante",IF(AND(_motor!$C$652&gt;=_motor!$B$668,_motor!$D$652&gt;=_motor!$B$668),"2 · Intermedia / de enlace",IF(AND(_motor!$C$652&lt;_motor!$B$668,_motor!$D$652&gt;=_motor!$B$668),"3 · Resultado","4 · Excluida / autónoma")))))</f>
        <v/>
      </c>
      <c r="J72" s="2" t="str">
        <f>IF(_motor!$B$652=0,"",IF(AND(ABS(_motor!$C$652-_motor!$B$668)&lt;=_motor!$B$676+0.000000001,ABS(_motor!$D$652-_motor!$B$668)&lt;=_motor!$B$676+0.000000001),"Reguladora",IF(AND(_motor!$C$652&gt;=_motor!$B$668,_motor!$D$652&lt;0.5*_motor!$B$668),"Determinante / entorno",IF(AND(_motor!$C$652&gt;=_motor!$B$668,_motor!$D$652&lt;_motor!$B$668),"Palanca secundaria",IF(AND(_motor!$C$652&gt;=_motor!$B$668,_motor!$D$652&gt;=_motor!$B$668),"Clave / de enlace",IF(AND(_motor!$D$652&gt;=_motor!$B$668,_motor!$C$652&gt;=0.5*_motor!$B$668),"Objetivo",IF(_motor!$D$652&gt;=_motor!$B$668,"Resultado","Autónoma")))))))</f>
        <v/>
      </c>
    </row>
    <row r="73" spans="1:10" x14ac:dyDescent="0.2">
      <c r="A73" s="6" t="str">
        <f>IF(_motor!$B$653=0,"",'02 · Variables'!$B$74)</f>
        <v/>
      </c>
      <c r="B73" s="2" t="str">
        <f>IF(_motor!$B$653=0,"",'02 · Variables'!$C$74)</f>
        <v/>
      </c>
      <c r="C73" s="9" t="str">
        <f>IF(_motor!$B$653=0,"",_motor!$C$653)</f>
        <v/>
      </c>
      <c r="D73" s="9" t="str">
        <f>IF(_motor!$B$653=0,"",_motor!$D$653)</f>
        <v/>
      </c>
      <c r="E73" s="8" t="str">
        <f>IF(OR(_motor!$B$653=0,_motor!$B$672=0),"",_motor!$C$653/_motor!$B$672)</f>
        <v/>
      </c>
      <c r="F73" s="8" t="str">
        <f>IF(OR(_motor!$B$653=0,_motor!$B$672=0),"",_motor!$D$653/_motor!$B$672)</f>
        <v/>
      </c>
      <c r="G73" s="7" t="str">
        <f>IF(_motor!$B$653=0,"",SUMPRODUCT(_motor!$B$586:$B$665*(_motor!$C$586:$C$665&gt;_motor!$C$653))+(SUMPRODUCT(_motor!$B$586:$B$665*(_motor!$C$586:$C$665=_motor!$C$653))+1)/2)</f>
        <v/>
      </c>
      <c r="H73" s="7" t="str">
        <f>IF(_motor!$B$653=0,"",SUMPRODUCT(_motor!$B$586:$B$665*(_motor!$D$586:$D$665&gt;_motor!$D$653))+(SUMPRODUCT(_motor!$B$586:$B$665*(_motor!$D$586:$D$665=_motor!$D$653))+1)/2)</f>
        <v/>
      </c>
      <c r="I73" s="2" t="str">
        <f>IF(_motor!$B$653=0,"",IF(AND(ABS(_motor!$C$653-_motor!$B$668)&lt;=_motor!$B$676+0.000000001,ABS(_motor!$D$653-_motor!$B$668)&lt;=_motor!$B$676+0.000000001),"5 · Pelotón (no concluyente)",IF(AND(_motor!$C$653&gt;=_motor!$B$668,_motor!$D$653&lt;_motor!$B$668),"1 · Entrada / determinante",IF(AND(_motor!$C$653&gt;=_motor!$B$668,_motor!$D$653&gt;=_motor!$B$668),"2 · Intermedia / de enlace",IF(AND(_motor!$C$653&lt;_motor!$B$668,_motor!$D$653&gt;=_motor!$B$668),"3 · Resultado","4 · Excluida / autónoma")))))</f>
        <v/>
      </c>
      <c r="J73" s="2" t="str">
        <f>IF(_motor!$B$653=0,"",IF(AND(ABS(_motor!$C$653-_motor!$B$668)&lt;=_motor!$B$676+0.000000001,ABS(_motor!$D$653-_motor!$B$668)&lt;=_motor!$B$676+0.000000001),"Reguladora",IF(AND(_motor!$C$653&gt;=_motor!$B$668,_motor!$D$653&lt;0.5*_motor!$B$668),"Determinante / entorno",IF(AND(_motor!$C$653&gt;=_motor!$B$668,_motor!$D$653&lt;_motor!$B$668),"Palanca secundaria",IF(AND(_motor!$C$653&gt;=_motor!$B$668,_motor!$D$653&gt;=_motor!$B$668),"Clave / de enlace",IF(AND(_motor!$D$653&gt;=_motor!$B$668,_motor!$C$653&gt;=0.5*_motor!$B$668),"Objetivo",IF(_motor!$D$653&gt;=_motor!$B$668,"Resultado","Autónoma")))))))</f>
        <v/>
      </c>
    </row>
    <row r="74" spans="1:10" x14ac:dyDescent="0.2">
      <c r="A74" s="6" t="str">
        <f>IF(_motor!$B$654=0,"",'02 · Variables'!$B$75)</f>
        <v/>
      </c>
      <c r="B74" s="2" t="str">
        <f>IF(_motor!$B$654=0,"",'02 · Variables'!$C$75)</f>
        <v/>
      </c>
      <c r="C74" s="9" t="str">
        <f>IF(_motor!$B$654=0,"",_motor!$C$654)</f>
        <v/>
      </c>
      <c r="D74" s="9" t="str">
        <f>IF(_motor!$B$654=0,"",_motor!$D$654)</f>
        <v/>
      </c>
      <c r="E74" s="8" t="str">
        <f>IF(OR(_motor!$B$654=0,_motor!$B$672=0),"",_motor!$C$654/_motor!$B$672)</f>
        <v/>
      </c>
      <c r="F74" s="8" t="str">
        <f>IF(OR(_motor!$B$654=0,_motor!$B$672=0),"",_motor!$D$654/_motor!$B$672)</f>
        <v/>
      </c>
      <c r="G74" s="7" t="str">
        <f>IF(_motor!$B$654=0,"",SUMPRODUCT(_motor!$B$586:$B$665*(_motor!$C$586:$C$665&gt;_motor!$C$654))+(SUMPRODUCT(_motor!$B$586:$B$665*(_motor!$C$586:$C$665=_motor!$C$654))+1)/2)</f>
        <v/>
      </c>
      <c r="H74" s="7" t="str">
        <f>IF(_motor!$B$654=0,"",SUMPRODUCT(_motor!$B$586:$B$665*(_motor!$D$586:$D$665&gt;_motor!$D$654))+(SUMPRODUCT(_motor!$B$586:$B$665*(_motor!$D$586:$D$665=_motor!$D$654))+1)/2)</f>
        <v/>
      </c>
      <c r="I74" s="2" t="str">
        <f>IF(_motor!$B$654=0,"",IF(AND(ABS(_motor!$C$654-_motor!$B$668)&lt;=_motor!$B$676+0.000000001,ABS(_motor!$D$654-_motor!$B$668)&lt;=_motor!$B$676+0.000000001),"5 · Pelotón (no concluyente)",IF(AND(_motor!$C$654&gt;=_motor!$B$668,_motor!$D$654&lt;_motor!$B$668),"1 · Entrada / determinante",IF(AND(_motor!$C$654&gt;=_motor!$B$668,_motor!$D$654&gt;=_motor!$B$668),"2 · Intermedia / de enlace",IF(AND(_motor!$C$654&lt;_motor!$B$668,_motor!$D$654&gt;=_motor!$B$668),"3 · Resultado","4 · Excluida / autónoma")))))</f>
        <v/>
      </c>
      <c r="J74" s="2" t="str">
        <f>IF(_motor!$B$654=0,"",IF(AND(ABS(_motor!$C$654-_motor!$B$668)&lt;=_motor!$B$676+0.000000001,ABS(_motor!$D$654-_motor!$B$668)&lt;=_motor!$B$676+0.000000001),"Reguladora",IF(AND(_motor!$C$654&gt;=_motor!$B$668,_motor!$D$654&lt;0.5*_motor!$B$668),"Determinante / entorno",IF(AND(_motor!$C$654&gt;=_motor!$B$668,_motor!$D$654&lt;_motor!$B$668),"Palanca secundaria",IF(AND(_motor!$C$654&gt;=_motor!$B$668,_motor!$D$654&gt;=_motor!$B$668),"Clave / de enlace",IF(AND(_motor!$D$654&gt;=_motor!$B$668,_motor!$C$654&gt;=0.5*_motor!$B$668),"Objetivo",IF(_motor!$D$654&gt;=_motor!$B$668,"Resultado","Autónoma")))))))</f>
        <v/>
      </c>
    </row>
    <row r="75" spans="1:10" x14ac:dyDescent="0.2">
      <c r="A75" s="6" t="str">
        <f>IF(_motor!$B$655=0,"",'02 · Variables'!$B$76)</f>
        <v/>
      </c>
      <c r="B75" s="2" t="str">
        <f>IF(_motor!$B$655=0,"",'02 · Variables'!$C$76)</f>
        <v/>
      </c>
      <c r="C75" s="9" t="str">
        <f>IF(_motor!$B$655=0,"",_motor!$C$655)</f>
        <v/>
      </c>
      <c r="D75" s="9" t="str">
        <f>IF(_motor!$B$655=0,"",_motor!$D$655)</f>
        <v/>
      </c>
      <c r="E75" s="8" t="str">
        <f>IF(OR(_motor!$B$655=0,_motor!$B$672=0),"",_motor!$C$655/_motor!$B$672)</f>
        <v/>
      </c>
      <c r="F75" s="8" t="str">
        <f>IF(OR(_motor!$B$655=0,_motor!$B$672=0),"",_motor!$D$655/_motor!$B$672)</f>
        <v/>
      </c>
      <c r="G75" s="7" t="str">
        <f>IF(_motor!$B$655=0,"",SUMPRODUCT(_motor!$B$586:$B$665*(_motor!$C$586:$C$665&gt;_motor!$C$655))+(SUMPRODUCT(_motor!$B$586:$B$665*(_motor!$C$586:$C$665=_motor!$C$655))+1)/2)</f>
        <v/>
      </c>
      <c r="H75" s="7" t="str">
        <f>IF(_motor!$B$655=0,"",SUMPRODUCT(_motor!$B$586:$B$665*(_motor!$D$586:$D$665&gt;_motor!$D$655))+(SUMPRODUCT(_motor!$B$586:$B$665*(_motor!$D$586:$D$665=_motor!$D$655))+1)/2)</f>
        <v/>
      </c>
      <c r="I75" s="2" t="str">
        <f>IF(_motor!$B$655=0,"",IF(AND(ABS(_motor!$C$655-_motor!$B$668)&lt;=_motor!$B$676+0.000000001,ABS(_motor!$D$655-_motor!$B$668)&lt;=_motor!$B$676+0.000000001),"5 · Pelotón (no concluyente)",IF(AND(_motor!$C$655&gt;=_motor!$B$668,_motor!$D$655&lt;_motor!$B$668),"1 · Entrada / determinante",IF(AND(_motor!$C$655&gt;=_motor!$B$668,_motor!$D$655&gt;=_motor!$B$668),"2 · Intermedia / de enlace",IF(AND(_motor!$C$655&lt;_motor!$B$668,_motor!$D$655&gt;=_motor!$B$668),"3 · Resultado","4 · Excluida / autónoma")))))</f>
        <v/>
      </c>
      <c r="J75" s="2" t="str">
        <f>IF(_motor!$B$655=0,"",IF(AND(ABS(_motor!$C$655-_motor!$B$668)&lt;=_motor!$B$676+0.000000001,ABS(_motor!$D$655-_motor!$B$668)&lt;=_motor!$B$676+0.000000001),"Reguladora",IF(AND(_motor!$C$655&gt;=_motor!$B$668,_motor!$D$655&lt;0.5*_motor!$B$668),"Determinante / entorno",IF(AND(_motor!$C$655&gt;=_motor!$B$668,_motor!$D$655&lt;_motor!$B$668),"Palanca secundaria",IF(AND(_motor!$C$655&gt;=_motor!$B$668,_motor!$D$655&gt;=_motor!$B$668),"Clave / de enlace",IF(AND(_motor!$D$655&gt;=_motor!$B$668,_motor!$C$655&gt;=0.5*_motor!$B$668),"Objetivo",IF(_motor!$D$655&gt;=_motor!$B$668,"Resultado","Autónoma")))))))</f>
        <v/>
      </c>
    </row>
    <row r="76" spans="1:10" x14ac:dyDescent="0.2">
      <c r="A76" s="6" t="str">
        <f>IF(_motor!$B$656=0,"",'02 · Variables'!$B$77)</f>
        <v/>
      </c>
      <c r="B76" s="2" t="str">
        <f>IF(_motor!$B$656=0,"",'02 · Variables'!$C$77)</f>
        <v/>
      </c>
      <c r="C76" s="9" t="str">
        <f>IF(_motor!$B$656=0,"",_motor!$C$656)</f>
        <v/>
      </c>
      <c r="D76" s="9" t="str">
        <f>IF(_motor!$B$656=0,"",_motor!$D$656)</f>
        <v/>
      </c>
      <c r="E76" s="8" t="str">
        <f>IF(OR(_motor!$B$656=0,_motor!$B$672=0),"",_motor!$C$656/_motor!$B$672)</f>
        <v/>
      </c>
      <c r="F76" s="8" t="str">
        <f>IF(OR(_motor!$B$656=0,_motor!$B$672=0),"",_motor!$D$656/_motor!$B$672)</f>
        <v/>
      </c>
      <c r="G76" s="7" t="str">
        <f>IF(_motor!$B$656=0,"",SUMPRODUCT(_motor!$B$586:$B$665*(_motor!$C$586:$C$665&gt;_motor!$C$656))+(SUMPRODUCT(_motor!$B$586:$B$665*(_motor!$C$586:$C$665=_motor!$C$656))+1)/2)</f>
        <v/>
      </c>
      <c r="H76" s="7" t="str">
        <f>IF(_motor!$B$656=0,"",SUMPRODUCT(_motor!$B$586:$B$665*(_motor!$D$586:$D$665&gt;_motor!$D$656))+(SUMPRODUCT(_motor!$B$586:$B$665*(_motor!$D$586:$D$665=_motor!$D$656))+1)/2)</f>
        <v/>
      </c>
      <c r="I76" s="2" t="str">
        <f>IF(_motor!$B$656=0,"",IF(AND(ABS(_motor!$C$656-_motor!$B$668)&lt;=_motor!$B$676+0.000000001,ABS(_motor!$D$656-_motor!$B$668)&lt;=_motor!$B$676+0.000000001),"5 · Pelotón (no concluyente)",IF(AND(_motor!$C$656&gt;=_motor!$B$668,_motor!$D$656&lt;_motor!$B$668),"1 · Entrada / determinante",IF(AND(_motor!$C$656&gt;=_motor!$B$668,_motor!$D$656&gt;=_motor!$B$668),"2 · Intermedia / de enlace",IF(AND(_motor!$C$656&lt;_motor!$B$668,_motor!$D$656&gt;=_motor!$B$668),"3 · Resultado","4 · Excluida / autónoma")))))</f>
        <v/>
      </c>
      <c r="J76" s="2" t="str">
        <f>IF(_motor!$B$656=0,"",IF(AND(ABS(_motor!$C$656-_motor!$B$668)&lt;=_motor!$B$676+0.000000001,ABS(_motor!$D$656-_motor!$B$668)&lt;=_motor!$B$676+0.000000001),"Reguladora",IF(AND(_motor!$C$656&gt;=_motor!$B$668,_motor!$D$656&lt;0.5*_motor!$B$668),"Determinante / entorno",IF(AND(_motor!$C$656&gt;=_motor!$B$668,_motor!$D$656&lt;_motor!$B$668),"Palanca secundaria",IF(AND(_motor!$C$656&gt;=_motor!$B$668,_motor!$D$656&gt;=_motor!$B$668),"Clave / de enlace",IF(AND(_motor!$D$656&gt;=_motor!$B$668,_motor!$C$656&gt;=0.5*_motor!$B$668),"Objetivo",IF(_motor!$D$656&gt;=_motor!$B$668,"Resultado","Autónoma")))))))</f>
        <v/>
      </c>
    </row>
    <row r="77" spans="1:10" x14ac:dyDescent="0.2">
      <c r="A77" s="6" t="str">
        <f>IF(_motor!$B$657=0,"",'02 · Variables'!$B$78)</f>
        <v/>
      </c>
      <c r="B77" s="2" t="str">
        <f>IF(_motor!$B$657=0,"",'02 · Variables'!$C$78)</f>
        <v/>
      </c>
      <c r="C77" s="9" t="str">
        <f>IF(_motor!$B$657=0,"",_motor!$C$657)</f>
        <v/>
      </c>
      <c r="D77" s="9" t="str">
        <f>IF(_motor!$B$657=0,"",_motor!$D$657)</f>
        <v/>
      </c>
      <c r="E77" s="8" t="str">
        <f>IF(OR(_motor!$B$657=0,_motor!$B$672=0),"",_motor!$C$657/_motor!$B$672)</f>
        <v/>
      </c>
      <c r="F77" s="8" t="str">
        <f>IF(OR(_motor!$B$657=0,_motor!$B$672=0),"",_motor!$D$657/_motor!$B$672)</f>
        <v/>
      </c>
      <c r="G77" s="7" t="str">
        <f>IF(_motor!$B$657=0,"",SUMPRODUCT(_motor!$B$586:$B$665*(_motor!$C$586:$C$665&gt;_motor!$C$657))+(SUMPRODUCT(_motor!$B$586:$B$665*(_motor!$C$586:$C$665=_motor!$C$657))+1)/2)</f>
        <v/>
      </c>
      <c r="H77" s="7" t="str">
        <f>IF(_motor!$B$657=0,"",SUMPRODUCT(_motor!$B$586:$B$665*(_motor!$D$586:$D$665&gt;_motor!$D$657))+(SUMPRODUCT(_motor!$B$586:$B$665*(_motor!$D$586:$D$665=_motor!$D$657))+1)/2)</f>
        <v/>
      </c>
      <c r="I77" s="2" t="str">
        <f>IF(_motor!$B$657=0,"",IF(AND(ABS(_motor!$C$657-_motor!$B$668)&lt;=_motor!$B$676+0.000000001,ABS(_motor!$D$657-_motor!$B$668)&lt;=_motor!$B$676+0.000000001),"5 · Pelotón (no concluyente)",IF(AND(_motor!$C$657&gt;=_motor!$B$668,_motor!$D$657&lt;_motor!$B$668),"1 · Entrada / determinante",IF(AND(_motor!$C$657&gt;=_motor!$B$668,_motor!$D$657&gt;=_motor!$B$668),"2 · Intermedia / de enlace",IF(AND(_motor!$C$657&lt;_motor!$B$668,_motor!$D$657&gt;=_motor!$B$668),"3 · Resultado","4 · Excluida / autónoma")))))</f>
        <v/>
      </c>
      <c r="J77" s="2" t="str">
        <f>IF(_motor!$B$657=0,"",IF(AND(ABS(_motor!$C$657-_motor!$B$668)&lt;=_motor!$B$676+0.000000001,ABS(_motor!$D$657-_motor!$B$668)&lt;=_motor!$B$676+0.000000001),"Reguladora",IF(AND(_motor!$C$657&gt;=_motor!$B$668,_motor!$D$657&lt;0.5*_motor!$B$668),"Determinante / entorno",IF(AND(_motor!$C$657&gt;=_motor!$B$668,_motor!$D$657&lt;_motor!$B$668),"Palanca secundaria",IF(AND(_motor!$C$657&gt;=_motor!$B$668,_motor!$D$657&gt;=_motor!$B$668),"Clave / de enlace",IF(AND(_motor!$D$657&gt;=_motor!$B$668,_motor!$C$657&gt;=0.5*_motor!$B$668),"Objetivo",IF(_motor!$D$657&gt;=_motor!$B$668,"Resultado","Autónoma")))))))</f>
        <v/>
      </c>
    </row>
    <row r="78" spans="1:10" x14ac:dyDescent="0.2">
      <c r="A78" s="6" t="str">
        <f>IF(_motor!$B$658=0,"",'02 · Variables'!$B$79)</f>
        <v/>
      </c>
      <c r="B78" s="2" t="str">
        <f>IF(_motor!$B$658=0,"",'02 · Variables'!$C$79)</f>
        <v/>
      </c>
      <c r="C78" s="9" t="str">
        <f>IF(_motor!$B$658=0,"",_motor!$C$658)</f>
        <v/>
      </c>
      <c r="D78" s="9" t="str">
        <f>IF(_motor!$B$658=0,"",_motor!$D$658)</f>
        <v/>
      </c>
      <c r="E78" s="8" t="str">
        <f>IF(OR(_motor!$B$658=0,_motor!$B$672=0),"",_motor!$C$658/_motor!$B$672)</f>
        <v/>
      </c>
      <c r="F78" s="8" t="str">
        <f>IF(OR(_motor!$B$658=0,_motor!$B$672=0),"",_motor!$D$658/_motor!$B$672)</f>
        <v/>
      </c>
      <c r="G78" s="7" t="str">
        <f>IF(_motor!$B$658=0,"",SUMPRODUCT(_motor!$B$586:$B$665*(_motor!$C$586:$C$665&gt;_motor!$C$658))+(SUMPRODUCT(_motor!$B$586:$B$665*(_motor!$C$586:$C$665=_motor!$C$658))+1)/2)</f>
        <v/>
      </c>
      <c r="H78" s="7" t="str">
        <f>IF(_motor!$B$658=0,"",SUMPRODUCT(_motor!$B$586:$B$665*(_motor!$D$586:$D$665&gt;_motor!$D$658))+(SUMPRODUCT(_motor!$B$586:$B$665*(_motor!$D$586:$D$665=_motor!$D$658))+1)/2)</f>
        <v/>
      </c>
      <c r="I78" s="2" t="str">
        <f>IF(_motor!$B$658=0,"",IF(AND(ABS(_motor!$C$658-_motor!$B$668)&lt;=_motor!$B$676+0.000000001,ABS(_motor!$D$658-_motor!$B$668)&lt;=_motor!$B$676+0.000000001),"5 · Pelotón (no concluyente)",IF(AND(_motor!$C$658&gt;=_motor!$B$668,_motor!$D$658&lt;_motor!$B$668),"1 · Entrada / determinante",IF(AND(_motor!$C$658&gt;=_motor!$B$668,_motor!$D$658&gt;=_motor!$B$668),"2 · Intermedia / de enlace",IF(AND(_motor!$C$658&lt;_motor!$B$668,_motor!$D$658&gt;=_motor!$B$668),"3 · Resultado","4 · Excluida / autónoma")))))</f>
        <v/>
      </c>
      <c r="J78" s="2" t="str">
        <f>IF(_motor!$B$658=0,"",IF(AND(ABS(_motor!$C$658-_motor!$B$668)&lt;=_motor!$B$676+0.000000001,ABS(_motor!$D$658-_motor!$B$668)&lt;=_motor!$B$676+0.000000001),"Reguladora",IF(AND(_motor!$C$658&gt;=_motor!$B$668,_motor!$D$658&lt;0.5*_motor!$B$668),"Determinante / entorno",IF(AND(_motor!$C$658&gt;=_motor!$B$668,_motor!$D$658&lt;_motor!$B$668),"Palanca secundaria",IF(AND(_motor!$C$658&gt;=_motor!$B$668,_motor!$D$658&gt;=_motor!$B$668),"Clave / de enlace",IF(AND(_motor!$D$658&gt;=_motor!$B$668,_motor!$C$658&gt;=0.5*_motor!$B$668),"Objetivo",IF(_motor!$D$658&gt;=_motor!$B$668,"Resultado","Autónoma")))))))</f>
        <v/>
      </c>
    </row>
    <row r="79" spans="1:10" x14ac:dyDescent="0.2">
      <c r="A79" s="6" t="str">
        <f>IF(_motor!$B$659=0,"",'02 · Variables'!$B$80)</f>
        <v/>
      </c>
      <c r="B79" s="2" t="str">
        <f>IF(_motor!$B$659=0,"",'02 · Variables'!$C$80)</f>
        <v/>
      </c>
      <c r="C79" s="9" t="str">
        <f>IF(_motor!$B$659=0,"",_motor!$C$659)</f>
        <v/>
      </c>
      <c r="D79" s="9" t="str">
        <f>IF(_motor!$B$659=0,"",_motor!$D$659)</f>
        <v/>
      </c>
      <c r="E79" s="8" t="str">
        <f>IF(OR(_motor!$B$659=0,_motor!$B$672=0),"",_motor!$C$659/_motor!$B$672)</f>
        <v/>
      </c>
      <c r="F79" s="8" t="str">
        <f>IF(OR(_motor!$B$659=0,_motor!$B$672=0),"",_motor!$D$659/_motor!$B$672)</f>
        <v/>
      </c>
      <c r="G79" s="7" t="str">
        <f>IF(_motor!$B$659=0,"",SUMPRODUCT(_motor!$B$586:$B$665*(_motor!$C$586:$C$665&gt;_motor!$C$659))+(SUMPRODUCT(_motor!$B$586:$B$665*(_motor!$C$586:$C$665=_motor!$C$659))+1)/2)</f>
        <v/>
      </c>
      <c r="H79" s="7" t="str">
        <f>IF(_motor!$B$659=0,"",SUMPRODUCT(_motor!$B$586:$B$665*(_motor!$D$586:$D$665&gt;_motor!$D$659))+(SUMPRODUCT(_motor!$B$586:$B$665*(_motor!$D$586:$D$665=_motor!$D$659))+1)/2)</f>
        <v/>
      </c>
      <c r="I79" s="2" t="str">
        <f>IF(_motor!$B$659=0,"",IF(AND(ABS(_motor!$C$659-_motor!$B$668)&lt;=_motor!$B$676+0.000000001,ABS(_motor!$D$659-_motor!$B$668)&lt;=_motor!$B$676+0.000000001),"5 · Pelotón (no concluyente)",IF(AND(_motor!$C$659&gt;=_motor!$B$668,_motor!$D$659&lt;_motor!$B$668),"1 · Entrada / determinante",IF(AND(_motor!$C$659&gt;=_motor!$B$668,_motor!$D$659&gt;=_motor!$B$668),"2 · Intermedia / de enlace",IF(AND(_motor!$C$659&lt;_motor!$B$668,_motor!$D$659&gt;=_motor!$B$668),"3 · Resultado","4 · Excluida / autónoma")))))</f>
        <v/>
      </c>
      <c r="J79" s="2" t="str">
        <f>IF(_motor!$B$659=0,"",IF(AND(ABS(_motor!$C$659-_motor!$B$668)&lt;=_motor!$B$676+0.000000001,ABS(_motor!$D$659-_motor!$B$668)&lt;=_motor!$B$676+0.000000001),"Reguladora",IF(AND(_motor!$C$659&gt;=_motor!$B$668,_motor!$D$659&lt;0.5*_motor!$B$668),"Determinante / entorno",IF(AND(_motor!$C$659&gt;=_motor!$B$668,_motor!$D$659&lt;_motor!$B$668),"Palanca secundaria",IF(AND(_motor!$C$659&gt;=_motor!$B$668,_motor!$D$659&gt;=_motor!$B$668),"Clave / de enlace",IF(AND(_motor!$D$659&gt;=_motor!$B$668,_motor!$C$659&gt;=0.5*_motor!$B$668),"Objetivo",IF(_motor!$D$659&gt;=_motor!$B$668,"Resultado","Autónoma")))))))</f>
        <v/>
      </c>
    </row>
    <row r="80" spans="1:10" x14ac:dyDescent="0.2">
      <c r="A80" s="6" t="str">
        <f>IF(_motor!$B$660=0,"",'02 · Variables'!$B$81)</f>
        <v/>
      </c>
      <c r="B80" s="2" t="str">
        <f>IF(_motor!$B$660=0,"",'02 · Variables'!$C$81)</f>
        <v/>
      </c>
      <c r="C80" s="9" t="str">
        <f>IF(_motor!$B$660=0,"",_motor!$C$660)</f>
        <v/>
      </c>
      <c r="D80" s="9" t="str">
        <f>IF(_motor!$B$660=0,"",_motor!$D$660)</f>
        <v/>
      </c>
      <c r="E80" s="8" t="str">
        <f>IF(OR(_motor!$B$660=0,_motor!$B$672=0),"",_motor!$C$660/_motor!$B$672)</f>
        <v/>
      </c>
      <c r="F80" s="8" t="str">
        <f>IF(OR(_motor!$B$660=0,_motor!$B$672=0),"",_motor!$D$660/_motor!$B$672)</f>
        <v/>
      </c>
      <c r="G80" s="7" t="str">
        <f>IF(_motor!$B$660=0,"",SUMPRODUCT(_motor!$B$586:$B$665*(_motor!$C$586:$C$665&gt;_motor!$C$660))+(SUMPRODUCT(_motor!$B$586:$B$665*(_motor!$C$586:$C$665=_motor!$C$660))+1)/2)</f>
        <v/>
      </c>
      <c r="H80" s="7" t="str">
        <f>IF(_motor!$B$660=0,"",SUMPRODUCT(_motor!$B$586:$B$665*(_motor!$D$586:$D$665&gt;_motor!$D$660))+(SUMPRODUCT(_motor!$B$586:$B$665*(_motor!$D$586:$D$665=_motor!$D$660))+1)/2)</f>
        <v/>
      </c>
      <c r="I80" s="2" t="str">
        <f>IF(_motor!$B$660=0,"",IF(AND(ABS(_motor!$C$660-_motor!$B$668)&lt;=_motor!$B$676+0.000000001,ABS(_motor!$D$660-_motor!$B$668)&lt;=_motor!$B$676+0.000000001),"5 · Pelotón (no concluyente)",IF(AND(_motor!$C$660&gt;=_motor!$B$668,_motor!$D$660&lt;_motor!$B$668),"1 · Entrada / determinante",IF(AND(_motor!$C$660&gt;=_motor!$B$668,_motor!$D$660&gt;=_motor!$B$668),"2 · Intermedia / de enlace",IF(AND(_motor!$C$660&lt;_motor!$B$668,_motor!$D$660&gt;=_motor!$B$668),"3 · Resultado","4 · Excluida / autónoma")))))</f>
        <v/>
      </c>
      <c r="J80" s="2" t="str">
        <f>IF(_motor!$B$660=0,"",IF(AND(ABS(_motor!$C$660-_motor!$B$668)&lt;=_motor!$B$676+0.000000001,ABS(_motor!$D$660-_motor!$B$668)&lt;=_motor!$B$676+0.000000001),"Reguladora",IF(AND(_motor!$C$660&gt;=_motor!$B$668,_motor!$D$660&lt;0.5*_motor!$B$668),"Determinante / entorno",IF(AND(_motor!$C$660&gt;=_motor!$B$668,_motor!$D$660&lt;_motor!$B$668),"Palanca secundaria",IF(AND(_motor!$C$660&gt;=_motor!$B$668,_motor!$D$660&gt;=_motor!$B$668),"Clave / de enlace",IF(AND(_motor!$D$660&gt;=_motor!$B$668,_motor!$C$660&gt;=0.5*_motor!$B$668),"Objetivo",IF(_motor!$D$660&gt;=_motor!$B$668,"Resultado","Autónoma")))))))</f>
        <v/>
      </c>
    </row>
    <row r="81" spans="1:10" x14ac:dyDescent="0.2">
      <c r="A81" s="6" t="str">
        <f>IF(_motor!$B$661=0,"",'02 · Variables'!$B$82)</f>
        <v/>
      </c>
      <c r="B81" s="2" t="str">
        <f>IF(_motor!$B$661=0,"",'02 · Variables'!$C$82)</f>
        <v/>
      </c>
      <c r="C81" s="9" t="str">
        <f>IF(_motor!$B$661=0,"",_motor!$C$661)</f>
        <v/>
      </c>
      <c r="D81" s="9" t="str">
        <f>IF(_motor!$B$661=0,"",_motor!$D$661)</f>
        <v/>
      </c>
      <c r="E81" s="8" t="str">
        <f>IF(OR(_motor!$B$661=0,_motor!$B$672=0),"",_motor!$C$661/_motor!$B$672)</f>
        <v/>
      </c>
      <c r="F81" s="8" t="str">
        <f>IF(OR(_motor!$B$661=0,_motor!$B$672=0),"",_motor!$D$661/_motor!$B$672)</f>
        <v/>
      </c>
      <c r="G81" s="7" t="str">
        <f>IF(_motor!$B$661=0,"",SUMPRODUCT(_motor!$B$586:$B$665*(_motor!$C$586:$C$665&gt;_motor!$C$661))+(SUMPRODUCT(_motor!$B$586:$B$665*(_motor!$C$586:$C$665=_motor!$C$661))+1)/2)</f>
        <v/>
      </c>
      <c r="H81" s="7" t="str">
        <f>IF(_motor!$B$661=0,"",SUMPRODUCT(_motor!$B$586:$B$665*(_motor!$D$586:$D$665&gt;_motor!$D$661))+(SUMPRODUCT(_motor!$B$586:$B$665*(_motor!$D$586:$D$665=_motor!$D$661))+1)/2)</f>
        <v/>
      </c>
      <c r="I81" s="2" t="str">
        <f>IF(_motor!$B$661=0,"",IF(AND(ABS(_motor!$C$661-_motor!$B$668)&lt;=_motor!$B$676+0.000000001,ABS(_motor!$D$661-_motor!$B$668)&lt;=_motor!$B$676+0.000000001),"5 · Pelotón (no concluyente)",IF(AND(_motor!$C$661&gt;=_motor!$B$668,_motor!$D$661&lt;_motor!$B$668),"1 · Entrada / determinante",IF(AND(_motor!$C$661&gt;=_motor!$B$668,_motor!$D$661&gt;=_motor!$B$668),"2 · Intermedia / de enlace",IF(AND(_motor!$C$661&lt;_motor!$B$668,_motor!$D$661&gt;=_motor!$B$668),"3 · Resultado","4 · Excluida / autónoma")))))</f>
        <v/>
      </c>
      <c r="J81" s="2" t="str">
        <f>IF(_motor!$B$661=0,"",IF(AND(ABS(_motor!$C$661-_motor!$B$668)&lt;=_motor!$B$676+0.000000001,ABS(_motor!$D$661-_motor!$B$668)&lt;=_motor!$B$676+0.000000001),"Reguladora",IF(AND(_motor!$C$661&gt;=_motor!$B$668,_motor!$D$661&lt;0.5*_motor!$B$668),"Determinante / entorno",IF(AND(_motor!$C$661&gt;=_motor!$B$668,_motor!$D$661&lt;_motor!$B$668),"Palanca secundaria",IF(AND(_motor!$C$661&gt;=_motor!$B$668,_motor!$D$661&gt;=_motor!$B$668),"Clave / de enlace",IF(AND(_motor!$D$661&gt;=_motor!$B$668,_motor!$C$661&gt;=0.5*_motor!$B$668),"Objetivo",IF(_motor!$D$661&gt;=_motor!$B$668,"Resultado","Autónoma")))))))</f>
        <v/>
      </c>
    </row>
    <row r="82" spans="1:10" x14ac:dyDescent="0.2">
      <c r="A82" s="6" t="str">
        <f>IF(_motor!$B$662=0,"",'02 · Variables'!$B$83)</f>
        <v/>
      </c>
      <c r="B82" s="2" t="str">
        <f>IF(_motor!$B$662=0,"",'02 · Variables'!$C$83)</f>
        <v/>
      </c>
      <c r="C82" s="9" t="str">
        <f>IF(_motor!$B$662=0,"",_motor!$C$662)</f>
        <v/>
      </c>
      <c r="D82" s="9" t="str">
        <f>IF(_motor!$B$662=0,"",_motor!$D$662)</f>
        <v/>
      </c>
      <c r="E82" s="8" t="str">
        <f>IF(OR(_motor!$B$662=0,_motor!$B$672=0),"",_motor!$C$662/_motor!$B$672)</f>
        <v/>
      </c>
      <c r="F82" s="8" t="str">
        <f>IF(OR(_motor!$B$662=0,_motor!$B$672=0),"",_motor!$D$662/_motor!$B$672)</f>
        <v/>
      </c>
      <c r="G82" s="7" t="str">
        <f>IF(_motor!$B$662=0,"",SUMPRODUCT(_motor!$B$586:$B$665*(_motor!$C$586:$C$665&gt;_motor!$C$662))+(SUMPRODUCT(_motor!$B$586:$B$665*(_motor!$C$586:$C$665=_motor!$C$662))+1)/2)</f>
        <v/>
      </c>
      <c r="H82" s="7" t="str">
        <f>IF(_motor!$B$662=0,"",SUMPRODUCT(_motor!$B$586:$B$665*(_motor!$D$586:$D$665&gt;_motor!$D$662))+(SUMPRODUCT(_motor!$B$586:$B$665*(_motor!$D$586:$D$665=_motor!$D$662))+1)/2)</f>
        <v/>
      </c>
      <c r="I82" s="2" t="str">
        <f>IF(_motor!$B$662=0,"",IF(AND(ABS(_motor!$C$662-_motor!$B$668)&lt;=_motor!$B$676+0.000000001,ABS(_motor!$D$662-_motor!$B$668)&lt;=_motor!$B$676+0.000000001),"5 · Pelotón (no concluyente)",IF(AND(_motor!$C$662&gt;=_motor!$B$668,_motor!$D$662&lt;_motor!$B$668),"1 · Entrada / determinante",IF(AND(_motor!$C$662&gt;=_motor!$B$668,_motor!$D$662&gt;=_motor!$B$668),"2 · Intermedia / de enlace",IF(AND(_motor!$C$662&lt;_motor!$B$668,_motor!$D$662&gt;=_motor!$B$668),"3 · Resultado","4 · Excluida / autónoma")))))</f>
        <v/>
      </c>
      <c r="J82" s="2" t="str">
        <f>IF(_motor!$B$662=0,"",IF(AND(ABS(_motor!$C$662-_motor!$B$668)&lt;=_motor!$B$676+0.000000001,ABS(_motor!$D$662-_motor!$B$668)&lt;=_motor!$B$676+0.000000001),"Reguladora",IF(AND(_motor!$C$662&gt;=_motor!$B$668,_motor!$D$662&lt;0.5*_motor!$B$668),"Determinante / entorno",IF(AND(_motor!$C$662&gt;=_motor!$B$668,_motor!$D$662&lt;_motor!$B$668),"Palanca secundaria",IF(AND(_motor!$C$662&gt;=_motor!$B$668,_motor!$D$662&gt;=_motor!$B$668),"Clave / de enlace",IF(AND(_motor!$D$662&gt;=_motor!$B$668,_motor!$C$662&gt;=0.5*_motor!$B$668),"Objetivo",IF(_motor!$D$662&gt;=_motor!$B$668,"Resultado","Autónoma")))))))</f>
        <v/>
      </c>
    </row>
    <row r="83" spans="1:10" x14ac:dyDescent="0.2">
      <c r="A83" s="6" t="str">
        <f>IF(_motor!$B$663=0,"",'02 · Variables'!$B$84)</f>
        <v/>
      </c>
      <c r="B83" s="2" t="str">
        <f>IF(_motor!$B$663=0,"",'02 · Variables'!$C$84)</f>
        <v/>
      </c>
      <c r="C83" s="9" t="str">
        <f>IF(_motor!$B$663=0,"",_motor!$C$663)</f>
        <v/>
      </c>
      <c r="D83" s="9" t="str">
        <f>IF(_motor!$B$663=0,"",_motor!$D$663)</f>
        <v/>
      </c>
      <c r="E83" s="8" t="str">
        <f>IF(OR(_motor!$B$663=0,_motor!$B$672=0),"",_motor!$C$663/_motor!$B$672)</f>
        <v/>
      </c>
      <c r="F83" s="8" t="str">
        <f>IF(OR(_motor!$B$663=0,_motor!$B$672=0),"",_motor!$D$663/_motor!$B$672)</f>
        <v/>
      </c>
      <c r="G83" s="7" t="str">
        <f>IF(_motor!$B$663=0,"",SUMPRODUCT(_motor!$B$586:$B$665*(_motor!$C$586:$C$665&gt;_motor!$C$663))+(SUMPRODUCT(_motor!$B$586:$B$665*(_motor!$C$586:$C$665=_motor!$C$663))+1)/2)</f>
        <v/>
      </c>
      <c r="H83" s="7" t="str">
        <f>IF(_motor!$B$663=0,"",SUMPRODUCT(_motor!$B$586:$B$665*(_motor!$D$586:$D$665&gt;_motor!$D$663))+(SUMPRODUCT(_motor!$B$586:$B$665*(_motor!$D$586:$D$665=_motor!$D$663))+1)/2)</f>
        <v/>
      </c>
      <c r="I83" s="2" t="str">
        <f>IF(_motor!$B$663=0,"",IF(AND(ABS(_motor!$C$663-_motor!$B$668)&lt;=_motor!$B$676+0.000000001,ABS(_motor!$D$663-_motor!$B$668)&lt;=_motor!$B$676+0.000000001),"5 · Pelotón (no concluyente)",IF(AND(_motor!$C$663&gt;=_motor!$B$668,_motor!$D$663&lt;_motor!$B$668),"1 · Entrada / determinante",IF(AND(_motor!$C$663&gt;=_motor!$B$668,_motor!$D$663&gt;=_motor!$B$668),"2 · Intermedia / de enlace",IF(AND(_motor!$C$663&lt;_motor!$B$668,_motor!$D$663&gt;=_motor!$B$668),"3 · Resultado","4 · Excluida / autónoma")))))</f>
        <v/>
      </c>
      <c r="J83" s="2" t="str">
        <f>IF(_motor!$B$663=0,"",IF(AND(ABS(_motor!$C$663-_motor!$B$668)&lt;=_motor!$B$676+0.000000001,ABS(_motor!$D$663-_motor!$B$668)&lt;=_motor!$B$676+0.000000001),"Reguladora",IF(AND(_motor!$C$663&gt;=_motor!$B$668,_motor!$D$663&lt;0.5*_motor!$B$668),"Determinante / entorno",IF(AND(_motor!$C$663&gt;=_motor!$B$668,_motor!$D$663&lt;_motor!$B$668),"Palanca secundaria",IF(AND(_motor!$C$663&gt;=_motor!$B$668,_motor!$D$663&gt;=_motor!$B$668),"Clave / de enlace",IF(AND(_motor!$D$663&gt;=_motor!$B$668,_motor!$C$663&gt;=0.5*_motor!$B$668),"Objetivo",IF(_motor!$D$663&gt;=_motor!$B$668,"Resultado","Autónoma")))))))</f>
        <v/>
      </c>
    </row>
    <row r="84" spans="1:10" x14ac:dyDescent="0.2">
      <c r="A84" s="6" t="str">
        <f>IF(_motor!$B$664=0,"",'02 · Variables'!$B$85)</f>
        <v/>
      </c>
      <c r="B84" s="2" t="str">
        <f>IF(_motor!$B$664=0,"",'02 · Variables'!$C$85)</f>
        <v/>
      </c>
      <c r="C84" s="9" t="str">
        <f>IF(_motor!$B$664=0,"",_motor!$C$664)</f>
        <v/>
      </c>
      <c r="D84" s="9" t="str">
        <f>IF(_motor!$B$664=0,"",_motor!$D$664)</f>
        <v/>
      </c>
      <c r="E84" s="8" t="str">
        <f>IF(OR(_motor!$B$664=0,_motor!$B$672=0),"",_motor!$C$664/_motor!$B$672)</f>
        <v/>
      </c>
      <c r="F84" s="8" t="str">
        <f>IF(OR(_motor!$B$664=0,_motor!$B$672=0),"",_motor!$D$664/_motor!$B$672)</f>
        <v/>
      </c>
      <c r="G84" s="7" t="str">
        <f>IF(_motor!$B$664=0,"",SUMPRODUCT(_motor!$B$586:$B$665*(_motor!$C$586:$C$665&gt;_motor!$C$664))+(SUMPRODUCT(_motor!$B$586:$B$665*(_motor!$C$586:$C$665=_motor!$C$664))+1)/2)</f>
        <v/>
      </c>
      <c r="H84" s="7" t="str">
        <f>IF(_motor!$B$664=0,"",SUMPRODUCT(_motor!$B$586:$B$665*(_motor!$D$586:$D$665&gt;_motor!$D$664))+(SUMPRODUCT(_motor!$B$586:$B$665*(_motor!$D$586:$D$665=_motor!$D$664))+1)/2)</f>
        <v/>
      </c>
      <c r="I84" s="2" t="str">
        <f>IF(_motor!$B$664=0,"",IF(AND(ABS(_motor!$C$664-_motor!$B$668)&lt;=_motor!$B$676+0.000000001,ABS(_motor!$D$664-_motor!$B$668)&lt;=_motor!$B$676+0.000000001),"5 · Pelotón (no concluyente)",IF(AND(_motor!$C$664&gt;=_motor!$B$668,_motor!$D$664&lt;_motor!$B$668),"1 · Entrada / determinante",IF(AND(_motor!$C$664&gt;=_motor!$B$668,_motor!$D$664&gt;=_motor!$B$668),"2 · Intermedia / de enlace",IF(AND(_motor!$C$664&lt;_motor!$B$668,_motor!$D$664&gt;=_motor!$B$668),"3 · Resultado","4 · Excluida / autónoma")))))</f>
        <v/>
      </c>
      <c r="J84" s="2" t="str">
        <f>IF(_motor!$B$664=0,"",IF(AND(ABS(_motor!$C$664-_motor!$B$668)&lt;=_motor!$B$676+0.000000001,ABS(_motor!$D$664-_motor!$B$668)&lt;=_motor!$B$676+0.000000001),"Reguladora",IF(AND(_motor!$C$664&gt;=_motor!$B$668,_motor!$D$664&lt;0.5*_motor!$B$668),"Determinante / entorno",IF(AND(_motor!$C$664&gt;=_motor!$B$668,_motor!$D$664&lt;_motor!$B$668),"Palanca secundaria",IF(AND(_motor!$C$664&gt;=_motor!$B$668,_motor!$D$664&gt;=_motor!$B$668),"Clave / de enlace",IF(AND(_motor!$D$664&gt;=_motor!$B$668,_motor!$C$664&gt;=0.5*_motor!$B$668),"Objetivo",IF(_motor!$D$664&gt;=_motor!$B$668,"Resultado","Autónoma")))))))</f>
        <v/>
      </c>
    </row>
    <row r="85" spans="1:10" x14ac:dyDescent="0.2">
      <c r="A85" s="6" t="str">
        <f>IF(_motor!$B$665=0,"",'02 · Variables'!$B$86)</f>
        <v/>
      </c>
      <c r="B85" s="2" t="str">
        <f>IF(_motor!$B$665=0,"",'02 · Variables'!$C$86)</f>
        <v/>
      </c>
      <c r="C85" s="9" t="str">
        <f>IF(_motor!$B$665=0,"",_motor!$C$665)</f>
        <v/>
      </c>
      <c r="D85" s="9" t="str">
        <f>IF(_motor!$B$665=0,"",_motor!$D$665)</f>
        <v/>
      </c>
      <c r="E85" s="8" t="str">
        <f>IF(OR(_motor!$B$665=0,_motor!$B$672=0),"",_motor!$C$665/_motor!$B$672)</f>
        <v/>
      </c>
      <c r="F85" s="8" t="str">
        <f>IF(OR(_motor!$B$665=0,_motor!$B$672=0),"",_motor!$D$665/_motor!$B$672)</f>
        <v/>
      </c>
      <c r="G85" s="7" t="str">
        <f>IF(_motor!$B$665=0,"",SUMPRODUCT(_motor!$B$586:$B$665*(_motor!$C$586:$C$665&gt;_motor!$C$665))+(SUMPRODUCT(_motor!$B$586:$B$665*(_motor!$C$586:$C$665=_motor!$C$665))+1)/2)</f>
        <v/>
      </c>
      <c r="H85" s="7" t="str">
        <f>IF(_motor!$B$665=0,"",SUMPRODUCT(_motor!$B$586:$B$665*(_motor!$D$586:$D$665&gt;_motor!$D$665))+(SUMPRODUCT(_motor!$B$586:$B$665*(_motor!$D$586:$D$665=_motor!$D$665))+1)/2)</f>
        <v/>
      </c>
      <c r="I85" s="2" t="str">
        <f>IF(_motor!$B$665=0,"",IF(AND(ABS(_motor!$C$665-_motor!$B$668)&lt;=_motor!$B$676+0.000000001,ABS(_motor!$D$665-_motor!$B$668)&lt;=_motor!$B$676+0.000000001),"5 · Pelotón (no concluyente)",IF(AND(_motor!$C$665&gt;=_motor!$B$668,_motor!$D$665&lt;_motor!$B$668),"1 · Entrada / determinante",IF(AND(_motor!$C$665&gt;=_motor!$B$668,_motor!$D$665&gt;=_motor!$B$668),"2 · Intermedia / de enlace",IF(AND(_motor!$C$665&lt;_motor!$B$668,_motor!$D$665&gt;=_motor!$B$668),"3 · Resultado","4 · Excluida / autónoma")))))</f>
        <v/>
      </c>
      <c r="J85" s="2" t="str">
        <f>IF(_motor!$B$665=0,"",IF(AND(ABS(_motor!$C$665-_motor!$B$668)&lt;=_motor!$B$676+0.000000001,ABS(_motor!$D$665-_motor!$B$668)&lt;=_motor!$B$676+0.000000001),"Reguladora",IF(AND(_motor!$C$665&gt;=_motor!$B$668,_motor!$D$665&lt;0.5*_motor!$B$668),"Determinante / entorno",IF(AND(_motor!$C$665&gt;=_motor!$B$668,_motor!$D$665&lt;_motor!$B$668),"Palanca secundaria",IF(AND(_motor!$C$665&gt;=_motor!$B$668,_motor!$D$665&gt;=_motor!$B$668),"Clave / de enlace",IF(AND(_motor!$D$665&gt;=_motor!$B$668,_motor!$C$665&gt;=0.5*_motor!$B$668),"Objetivo",IF(_motor!$D$665&gt;=_motor!$B$668,"Resultado","Autónoma")))))))</f>
        <v/>
      </c>
    </row>
    <row r="87" spans="1:10" ht="30" x14ac:dyDescent="0.2">
      <c r="B87" s="1" t="s">
        <v>12</v>
      </c>
      <c r="C87" s="10">
        <f>_motor!$B$668</f>
        <v>0</v>
      </c>
    </row>
    <row r="88" spans="1:10" ht="30" x14ac:dyDescent="0.2">
      <c r="B88" s="1" t="s">
        <v>13</v>
      </c>
      <c r="C88" s="10">
        <f>_motor!$B$676</f>
        <v>0</v>
      </c>
    </row>
    <row r="89" spans="1:10" ht="23.75" customHeight="1" x14ac:dyDescent="0.2">
      <c r="B89" s="1" t="s">
        <v>14</v>
      </c>
      <c r="C89" s="120" t="s">
        <v>15</v>
      </c>
      <c r="D89" s="120"/>
      <c r="E89" s="120"/>
      <c r="F89" s="120"/>
      <c r="G89" s="120"/>
      <c r="H89" s="120"/>
      <c r="I89" s="120"/>
      <c r="J89" s="120"/>
    </row>
  </sheetData>
  <sheetProtection password="CD7E" sheet="1" formatCells="0" formatColumns="0" formatRows="0" insertRows="0"/>
  <mergeCells count="1">
    <mergeCell ref="C89:J89"/>
  </mergeCells>
  <conditionalFormatting sqref="I6:I85">
    <cfRule type="expression" dxfId="16" priority="2">
      <formula>ISNUMBER(SEARCH("1 ·",$I6))</formula>
    </cfRule>
    <cfRule type="expression" dxfId="15" priority="3">
      <formula>ISNUMBER(SEARCH("2 ·",$I6))</formula>
    </cfRule>
    <cfRule type="expression" dxfId="14" priority="4">
      <formula>ISNUMBER(SEARCH("3 ·",$I6))</formula>
    </cfRule>
    <cfRule type="expression" dxfId="13" priority="5">
      <formula>ISNUMBER(SEARCH("4 ·",$I6))</formula>
    </cfRule>
    <cfRule type="expression" dxfId="12" priority="6">
      <formula>ISNUMBER(SEARCH("5 ·",$I6))</formula>
    </cfRule>
  </conditionalFormatting>
  <pageMargins left="0.5" right="0.5" top="0.6" bottom="0.6" header="0.3" footer="0.3"/>
  <pageSetup paperSize="9" fitToHeight="0" orientation="landscape" horizontalDpi="300" verticalDpi="300"/>
  <headerFooter>
    <oddHeader>&amp;R&amp;"Aptos,Regular"&amp;8&amp;K94A0AE09 Res Directos</oddHeader>
    <oddFooter>&amp;L&amp;"Aptos,Regular"&amp;8&amp;K94A0AEIntelKIT · MICMAC Professional v1.0&amp;R&amp;"Aptos,Regular"&amp;8&amp;K94A0AEPágina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82C0"/>
    <pageSetUpPr fitToPage="1"/>
  </sheetPr>
  <dimension ref="A1:L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 min="11" max="11" width="16" customWidth="1"/>
    <col min="12" max="12" width="40" customWidth="1"/>
  </cols>
  <sheetData>
    <row r="1" spans="1:12" ht="24" customHeight="1" x14ac:dyDescent="0.2">
      <c r="A1" s="18"/>
      <c r="B1" s="17" t="s">
        <v>135</v>
      </c>
      <c r="C1" s="18" t="s">
        <v>381</v>
      </c>
      <c r="D1" s="18"/>
      <c r="E1" s="18"/>
      <c r="F1" s="18"/>
      <c r="G1" s="18"/>
      <c r="H1" s="18"/>
      <c r="I1" s="19" t="s">
        <v>380</v>
      </c>
    </row>
    <row r="2" spans="1:12" ht="26" customHeight="1" x14ac:dyDescent="0.2">
      <c r="B2" s="20" t="s">
        <v>16</v>
      </c>
    </row>
    <row r="3" spans="1:12" ht="22" customHeight="1" x14ac:dyDescent="0.2">
      <c r="B3" s="21" t="s">
        <v>17</v>
      </c>
    </row>
    <row r="5" spans="1:12" ht="30" x14ac:dyDescent="0.2">
      <c r="A5" s="5" t="s">
        <v>0</v>
      </c>
      <c r="B5" s="5" t="s">
        <v>3</v>
      </c>
      <c r="C5" s="5" t="s">
        <v>4</v>
      </c>
      <c r="D5" s="5" t="s">
        <v>5</v>
      </c>
      <c r="E5" s="5" t="s">
        <v>6</v>
      </c>
      <c r="F5" s="5" t="s">
        <v>7</v>
      </c>
      <c r="G5" s="5" t="s">
        <v>8</v>
      </c>
      <c r="H5" s="5" t="s">
        <v>9</v>
      </c>
      <c r="I5" s="5" t="s">
        <v>10</v>
      </c>
      <c r="J5" s="5" t="s">
        <v>11</v>
      </c>
      <c r="K5" s="5" t="s">
        <v>18</v>
      </c>
      <c r="L5" s="5" t="s">
        <v>19</v>
      </c>
    </row>
    <row r="6" spans="1:12" x14ac:dyDescent="0.2">
      <c r="A6" s="6" t="str">
        <f>IF(_motor!$B$586=0,"",'02 · Variables'!$B$7)</f>
        <v/>
      </c>
      <c r="B6" s="2" t="str">
        <f>IF(_motor!$B$586=0,"",'02 · Variables'!$C$7)</f>
        <v/>
      </c>
      <c r="C6" s="9" t="str">
        <f>IF(_motor!$B$586=0,"",_motor!$E$586)</f>
        <v/>
      </c>
      <c r="D6" s="9" t="str">
        <f>IF(_motor!$B$586=0,"",_motor!$F$586)</f>
        <v/>
      </c>
      <c r="E6" s="8" t="str">
        <f>IF(OR(_motor!$B$586=0,_motor!$B$673=0),"",_motor!$E$586/_motor!$B$673)</f>
        <v/>
      </c>
      <c r="F6" s="8" t="str">
        <f>IF(OR(_motor!$B$586=0,_motor!$B$673=0),"",_motor!$F$586/_motor!$B$673)</f>
        <v/>
      </c>
      <c r="G6" s="7" t="str">
        <f>IF(_motor!$B$586=0,"",SUMPRODUCT(_motor!$B$586:$B$665*(_motor!$E$586:$E$665&gt;_motor!$E$586))+(SUMPRODUCT(_motor!$B$586:$B$665*(_motor!$E$586:$E$665=_motor!$E$586))+1)/2)</f>
        <v/>
      </c>
      <c r="H6" s="7" t="str">
        <f>IF(_motor!$B$586=0,"",SUMPRODUCT(_motor!$B$586:$B$665*(_motor!$F$586:$F$665&gt;_motor!$F$586))+(SUMPRODUCT(_motor!$B$586:$B$665*(_motor!$F$586:$F$665=_motor!$F$586))+1)/2)</f>
        <v/>
      </c>
      <c r="I6" s="2" t="str">
        <f>IF(_motor!$B$586=0,"",IF(AND(ABS(_motor!$E$586-_motor!$B$669)&lt;=_motor!$B$677+0.000000001,ABS(_motor!$F$586-_motor!$B$669)&lt;=_motor!$B$677+0.000000001),"5 · Pelotón (no concluyente)",IF(AND(_motor!$E$586&gt;=_motor!$B$669,_motor!$F$586&lt;_motor!$B$669),"1 · Entrada / determinante",IF(AND(_motor!$E$586&gt;=_motor!$B$669,_motor!$F$586&gt;=_motor!$B$669),"2 · Intermedia / de enlace",IF(AND(_motor!$E$586&lt;_motor!$B$669,_motor!$F$586&gt;=_motor!$B$669),"3 · Resultado","4 · Excluida / autónoma")))))</f>
        <v/>
      </c>
      <c r="J6" s="2" t="str">
        <f>IF(_motor!$B$586=0,"",IF(AND(ABS(_motor!$E$586-_motor!$B$669)&lt;=_motor!$B$677+0.000000001,ABS(_motor!$F$586-_motor!$B$669)&lt;=_motor!$B$677+0.000000001),"Reguladora",IF(AND(_motor!$E$586&gt;=_motor!$B$669,_motor!$F$586&lt;0.5*_motor!$B$669),"Determinante / entorno",IF(AND(_motor!$E$586&gt;=_motor!$B$669,_motor!$F$586&lt;_motor!$B$669),"Palanca secundaria",IF(AND(_motor!$E$586&gt;=_motor!$B$669,_motor!$F$586&gt;=_motor!$B$669),"Clave / de enlace",IF(AND(_motor!$F$586&gt;=_motor!$B$669,_motor!$E$586&gt;=0.5*_motor!$B$669),"Objetivo",IF(_motor!$F$586&gt;=_motor!$B$669,"Resultado","Autónoma")))))))</f>
        <v/>
      </c>
      <c r="K6" s="2" t="str">
        <f>IF(_motor!$B$586=0,"",_motor!$M$586-_motor!$O$586)</f>
        <v/>
      </c>
      <c r="L6" s="2" t="str">
        <f>IF(_motor!$B$586=0,"",IF(_motor!$O$586&lt;_motor!$M$586-2,"▲ VARIABLE OCULTA (sube "&amp;TEXT(_motor!$M$586-_motor!$O$586,"0")&amp;" puestos)",IF(_motor!$O$586&gt;_motor!$M$586+2,"▼ Sobrevalorada en directo (baja "&amp;TEXT(_motor!$O$586-_motor!$M$586,"0")&amp;")","= Estable")))</f>
        <v/>
      </c>
    </row>
    <row r="7" spans="1:12" x14ac:dyDescent="0.2">
      <c r="A7" s="6" t="str">
        <f>IF(_motor!$B$587=0,"",'02 · Variables'!$B$8)</f>
        <v/>
      </c>
      <c r="B7" s="2" t="str">
        <f>IF(_motor!$B$587=0,"",'02 · Variables'!$C$8)</f>
        <v/>
      </c>
      <c r="C7" s="9" t="str">
        <f>IF(_motor!$B$587=0,"",_motor!$E$587)</f>
        <v/>
      </c>
      <c r="D7" s="9" t="str">
        <f>IF(_motor!$B$587=0,"",_motor!$F$587)</f>
        <v/>
      </c>
      <c r="E7" s="8" t="str">
        <f>IF(OR(_motor!$B$587=0,_motor!$B$673=0),"",_motor!$E$587/_motor!$B$673)</f>
        <v/>
      </c>
      <c r="F7" s="8" t="str">
        <f>IF(OR(_motor!$B$587=0,_motor!$B$673=0),"",_motor!$F$587/_motor!$B$673)</f>
        <v/>
      </c>
      <c r="G7" s="7" t="str">
        <f>IF(_motor!$B$587=0,"",SUMPRODUCT(_motor!$B$586:$B$665*(_motor!$E$586:$E$665&gt;_motor!$E$587))+(SUMPRODUCT(_motor!$B$586:$B$665*(_motor!$E$586:$E$665=_motor!$E$587))+1)/2)</f>
        <v/>
      </c>
      <c r="H7" s="7" t="str">
        <f>IF(_motor!$B$587=0,"",SUMPRODUCT(_motor!$B$586:$B$665*(_motor!$F$586:$F$665&gt;_motor!$F$587))+(SUMPRODUCT(_motor!$B$586:$B$665*(_motor!$F$586:$F$665=_motor!$F$587))+1)/2)</f>
        <v/>
      </c>
      <c r="I7" s="2" t="str">
        <f>IF(_motor!$B$587=0,"",IF(AND(ABS(_motor!$E$587-_motor!$B$669)&lt;=_motor!$B$677+0.000000001,ABS(_motor!$F$587-_motor!$B$669)&lt;=_motor!$B$677+0.000000001),"5 · Pelotón (no concluyente)",IF(AND(_motor!$E$587&gt;=_motor!$B$669,_motor!$F$587&lt;_motor!$B$669),"1 · Entrada / determinante",IF(AND(_motor!$E$587&gt;=_motor!$B$669,_motor!$F$587&gt;=_motor!$B$669),"2 · Intermedia / de enlace",IF(AND(_motor!$E$587&lt;_motor!$B$669,_motor!$F$587&gt;=_motor!$B$669),"3 · Resultado","4 · Excluida / autónoma")))))</f>
        <v/>
      </c>
      <c r="J7" s="2" t="str">
        <f>IF(_motor!$B$587=0,"",IF(AND(ABS(_motor!$E$587-_motor!$B$669)&lt;=_motor!$B$677+0.000000001,ABS(_motor!$F$587-_motor!$B$669)&lt;=_motor!$B$677+0.000000001),"Reguladora",IF(AND(_motor!$E$587&gt;=_motor!$B$669,_motor!$F$587&lt;0.5*_motor!$B$669),"Determinante / entorno",IF(AND(_motor!$E$587&gt;=_motor!$B$669,_motor!$F$587&lt;_motor!$B$669),"Palanca secundaria",IF(AND(_motor!$E$587&gt;=_motor!$B$669,_motor!$F$587&gt;=_motor!$B$669),"Clave / de enlace",IF(AND(_motor!$F$587&gt;=_motor!$B$669,_motor!$E$587&gt;=0.5*_motor!$B$669),"Objetivo",IF(_motor!$F$587&gt;=_motor!$B$669,"Resultado","Autónoma")))))))</f>
        <v/>
      </c>
      <c r="K7" s="2" t="str">
        <f>IF(_motor!$B$587=0,"",_motor!$M$587-_motor!$O$587)</f>
        <v/>
      </c>
      <c r="L7" s="2" t="str">
        <f>IF(_motor!$B$587=0,"",IF(_motor!$O$587&lt;_motor!$M$587-2,"▲ VARIABLE OCULTA (sube "&amp;TEXT(_motor!$M$587-_motor!$O$587,"0")&amp;" puestos)",IF(_motor!$O$587&gt;_motor!$M$587+2,"▼ Sobrevalorada en directo (baja "&amp;TEXT(_motor!$O$587-_motor!$M$587,"0")&amp;")","= Estable")))</f>
        <v/>
      </c>
    </row>
    <row r="8" spans="1:12" x14ac:dyDescent="0.2">
      <c r="A8" s="6" t="str">
        <f>IF(_motor!$B$588=0,"",'02 · Variables'!$B$9)</f>
        <v/>
      </c>
      <c r="B8" s="2" t="str">
        <f>IF(_motor!$B$588=0,"",'02 · Variables'!$C$9)</f>
        <v/>
      </c>
      <c r="C8" s="9" t="str">
        <f>IF(_motor!$B$588=0,"",_motor!$E$588)</f>
        <v/>
      </c>
      <c r="D8" s="9" t="str">
        <f>IF(_motor!$B$588=0,"",_motor!$F$588)</f>
        <v/>
      </c>
      <c r="E8" s="8" t="str">
        <f>IF(OR(_motor!$B$588=0,_motor!$B$673=0),"",_motor!$E$588/_motor!$B$673)</f>
        <v/>
      </c>
      <c r="F8" s="8" t="str">
        <f>IF(OR(_motor!$B$588=0,_motor!$B$673=0),"",_motor!$F$588/_motor!$B$673)</f>
        <v/>
      </c>
      <c r="G8" s="7" t="str">
        <f>IF(_motor!$B$588=0,"",SUMPRODUCT(_motor!$B$586:$B$665*(_motor!$E$586:$E$665&gt;_motor!$E$588))+(SUMPRODUCT(_motor!$B$586:$B$665*(_motor!$E$586:$E$665=_motor!$E$588))+1)/2)</f>
        <v/>
      </c>
      <c r="H8" s="7" t="str">
        <f>IF(_motor!$B$588=0,"",SUMPRODUCT(_motor!$B$586:$B$665*(_motor!$F$586:$F$665&gt;_motor!$F$588))+(SUMPRODUCT(_motor!$B$586:$B$665*(_motor!$F$586:$F$665=_motor!$F$588))+1)/2)</f>
        <v/>
      </c>
      <c r="I8" s="2" t="str">
        <f>IF(_motor!$B$588=0,"",IF(AND(ABS(_motor!$E$588-_motor!$B$669)&lt;=_motor!$B$677+0.000000001,ABS(_motor!$F$588-_motor!$B$669)&lt;=_motor!$B$677+0.000000001),"5 · Pelotón (no concluyente)",IF(AND(_motor!$E$588&gt;=_motor!$B$669,_motor!$F$588&lt;_motor!$B$669),"1 · Entrada / determinante",IF(AND(_motor!$E$588&gt;=_motor!$B$669,_motor!$F$588&gt;=_motor!$B$669),"2 · Intermedia / de enlace",IF(AND(_motor!$E$588&lt;_motor!$B$669,_motor!$F$588&gt;=_motor!$B$669),"3 · Resultado","4 · Excluida / autónoma")))))</f>
        <v/>
      </c>
      <c r="J8" s="2" t="str">
        <f>IF(_motor!$B$588=0,"",IF(AND(ABS(_motor!$E$588-_motor!$B$669)&lt;=_motor!$B$677+0.000000001,ABS(_motor!$F$588-_motor!$B$669)&lt;=_motor!$B$677+0.000000001),"Reguladora",IF(AND(_motor!$E$588&gt;=_motor!$B$669,_motor!$F$588&lt;0.5*_motor!$B$669),"Determinante / entorno",IF(AND(_motor!$E$588&gt;=_motor!$B$669,_motor!$F$588&lt;_motor!$B$669),"Palanca secundaria",IF(AND(_motor!$E$588&gt;=_motor!$B$669,_motor!$F$588&gt;=_motor!$B$669),"Clave / de enlace",IF(AND(_motor!$F$588&gt;=_motor!$B$669,_motor!$E$588&gt;=0.5*_motor!$B$669),"Objetivo",IF(_motor!$F$588&gt;=_motor!$B$669,"Resultado","Autónoma")))))))</f>
        <v/>
      </c>
      <c r="K8" s="2" t="str">
        <f>IF(_motor!$B$588=0,"",_motor!$M$588-_motor!$O$588)</f>
        <v/>
      </c>
      <c r="L8" s="2" t="str">
        <f>IF(_motor!$B$588=0,"",IF(_motor!$O$588&lt;_motor!$M$588-2,"▲ VARIABLE OCULTA (sube "&amp;TEXT(_motor!$M$588-_motor!$O$588,"0")&amp;" puestos)",IF(_motor!$O$588&gt;_motor!$M$588+2,"▼ Sobrevalorada en directo (baja "&amp;TEXT(_motor!$O$588-_motor!$M$588,"0")&amp;")","= Estable")))</f>
        <v/>
      </c>
    </row>
    <row r="9" spans="1:12" x14ac:dyDescent="0.2">
      <c r="A9" s="6" t="str">
        <f>IF(_motor!$B$589=0,"",'02 · Variables'!$B$10)</f>
        <v/>
      </c>
      <c r="B9" s="2" t="str">
        <f>IF(_motor!$B$589=0,"",'02 · Variables'!$C$10)</f>
        <v/>
      </c>
      <c r="C9" s="9" t="str">
        <f>IF(_motor!$B$589=0,"",_motor!$E$589)</f>
        <v/>
      </c>
      <c r="D9" s="9" t="str">
        <f>IF(_motor!$B$589=0,"",_motor!$F$589)</f>
        <v/>
      </c>
      <c r="E9" s="8" t="str">
        <f>IF(OR(_motor!$B$589=0,_motor!$B$673=0),"",_motor!$E$589/_motor!$B$673)</f>
        <v/>
      </c>
      <c r="F9" s="8" t="str">
        <f>IF(OR(_motor!$B$589=0,_motor!$B$673=0),"",_motor!$F$589/_motor!$B$673)</f>
        <v/>
      </c>
      <c r="G9" s="7" t="str">
        <f>IF(_motor!$B$589=0,"",SUMPRODUCT(_motor!$B$586:$B$665*(_motor!$E$586:$E$665&gt;_motor!$E$589))+(SUMPRODUCT(_motor!$B$586:$B$665*(_motor!$E$586:$E$665=_motor!$E$589))+1)/2)</f>
        <v/>
      </c>
      <c r="H9" s="7" t="str">
        <f>IF(_motor!$B$589=0,"",SUMPRODUCT(_motor!$B$586:$B$665*(_motor!$F$586:$F$665&gt;_motor!$F$589))+(SUMPRODUCT(_motor!$B$586:$B$665*(_motor!$F$586:$F$665=_motor!$F$589))+1)/2)</f>
        <v/>
      </c>
      <c r="I9" s="2" t="str">
        <f>IF(_motor!$B$589=0,"",IF(AND(ABS(_motor!$E$589-_motor!$B$669)&lt;=_motor!$B$677+0.000000001,ABS(_motor!$F$589-_motor!$B$669)&lt;=_motor!$B$677+0.000000001),"5 · Pelotón (no concluyente)",IF(AND(_motor!$E$589&gt;=_motor!$B$669,_motor!$F$589&lt;_motor!$B$669),"1 · Entrada / determinante",IF(AND(_motor!$E$589&gt;=_motor!$B$669,_motor!$F$589&gt;=_motor!$B$669),"2 · Intermedia / de enlace",IF(AND(_motor!$E$589&lt;_motor!$B$669,_motor!$F$589&gt;=_motor!$B$669),"3 · Resultado","4 · Excluida / autónoma")))))</f>
        <v/>
      </c>
      <c r="J9" s="2" t="str">
        <f>IF(_motor!$B$589=0,"",IF(AND(ABS(_motor!$E$589-_motor!$B$669)&lt;=_motor!$B$677+0.000000001,ABS(_motor!$F$589-_motor!$B$669)&lt;=_motor!$B$677+0.000000001),"Reguladora",IF(AND(_motor!$E$589&gt;=_motor!$B$669,_motor!$F$589&lt;0.5*_motor!$B$669),"Determinante / entorno",IF(AND(_motor!$E$589&gt;=_motor!$B$669,_motor!$F$589&lt;_motor!$B$669),"Palanca secundaria",IF(AND(_motor!$E$589&gt;=_motor!$B$669,_motor!$F$589&gt;=_motor!$B$669),"Clave / de enlace",IF(AND(_motor!$F$589&gt;=_motor!$B$669,_motor!$E$589&gt;=0.5*_motor!$B$669),"Objetivo",IF(_motor!$F$589&gt;=_motor!$B$669,"Resultado","Autónoma")))))))</f>
        <v/>
      </c>
      <c r="K9" s="2" t="str">
        <f>IF(_motor!$B$589=0,"",_motor!$M$589-_motor!$O$589)</f>
        <v/>
      </c>
      <c r="L9" s="2" t="str">
        <f>IF(_motor!$B$589=0,"",IF(_motor!$O$589&lt;_motor!$M$589-2,"▲ VARIABLE OCULTA (sube "&amp;TEXT(_motor!$M$589-_motor!$O$589,"0")&amp;" puestos)",IF(_motor!$O$589&gt;_motor!$M$589+2,"▼ Sobrevalorada en directo (baja "&amp;TEXT(_motor!$O$589-_motor!$M$589,"0")&amp;")","= Estable")))</f>
        <v/>
      </c>
    </row>
    <row r="10" spans="1:12" x14ac:dyDescent="0.2">
      <c r="A10" s="6" t="str">
        <f>IF(_motor!$B$590=0,"",'02 · Variables'!$B$11)</f>
        <v/>
      </c>
      <c r="B10" s="2" t="str">
        <f>IF(_motor!$B$590=0,"",'02 · Variables'!$C$11)</f>
        <v/>
      </c>
      <c r="C10" s="9" t="str">
        <f>IF(_motor!$B$590=0,"",_motor!$E$590)</f>
        <v/>
      </c>
      <c r="D10" s="9" t="str">
        <f>IF(_motor!$B$590=0,"",_motor!$F$590)</f>
        <v/>
      </c>
      <c r="E10" s="8" t="str">
        <f>IF(OR(_motor!$B$590=0,_motor!$B$673=0),"",_motor!$E$590/_motor!$B$673)</f>
        <v/>
      </c>
      <c r="F10" s="8" t="str">
        <f>IF(OR(_motor!$B$590=0,_motor!$B$673=0),"",_motor!$F$590/_motor!$B$673)</f>
        <v/>
      </c>
      <c r="G10" s="7" t="str">
        <f>IF(_motor!$B$590=0,"",SUMPRODUCT(_motor!$B$586:$B$665*(_motor!$E$586:$E$665&gt;_motor!$E$590))+(SUMPRODUCT(_motor!$B$586:$B$665*(_motor!$E$586:$E$665=_motor!$E$590))+1)/2)</f>
        <v/>
      </c>
      <c r="H10" s="7" t="str">
        <f>IF(_motor!$B$590=0,"",SUMPRODUCT(_motor!$B$586:$B$665*(_motor!$F$586:$F$665&gt;_motor!$F$590))+(SUMPRODUCT(_motor!$B$586:$B$665*(_motor!$F$586:$F$665=_motor!$F$590))+1)/2)</f>
        <v/>
      </c>
      <c r="I10" s="2" t="str">
        <f>IF(_motor!$B$590=0,"",IF(AND(ABS(_motor!$E$590-_motor!$B$669)&lt;=_motor!$B$677+0.000000001,ABS(_motor!$F$590-_motor!$B$669)&lt;=_motor!$B$677+0.000000001),"5 · Pelotón (no concluyente)",IF(AND(_motor!$E$590&gt;=_motor!$B$669,_motor!$F$590&lt;_motor!$B$669),"1 · Entrada / determinante",IF(AND(_motor!$E$590&gt;=_motor!$B$669,_motor!$F$590&gt;=_motor!$B$669),"2 · Intermedia / de enlace",IF(AND(_motor!$E$590&lt;_motor!$B$669,_motor!$F$590&gt;=_motor!$B$669),"3 · Resultado","4 · Excluida / autónoma")))))</f>
        <v/>
      </c>
      <c r="J10" s="2" t="str">
        <f>IF(_motor!$B$590=0,"",IF(AND(ABS(_motor!$E$590-_motor!$B$669)&lt;=_motor!$B$677+0.000000001,ABS(_motor!$F$590-_motor!$B$669)&lt;=_motor!$B$677+0.000000001),"Reguladora",IF(AND(_motor!$E$590&gt;=_motor!$B$669,_motor!$F$590&lt;0.5*_motor!$B$669),"Determinante / entorno",IF(AND(_motor!$E$590&gt;=_motor!$B$669,_motor!$F$590&lt;_motor!$B$669),"Palanca secundaria",IF(AND(_motor!$E$590&gt;=_motor!$B$669,_motor!$F$590&gt;=_motor!$B$669),"Clave / de enlace",IF(AND(_motor!$F$590&gt;=_motor!$B$669,_motor!$E$590&gt;=0.5*_motor!$B$669),"Objetivo",IF(_motor!$F$590&gt;=_motor!$B$669,"Resultado","Autónoma")))))))</f>
        <v/>
      </c>
      <c r="K10" s="2" t="str">
        <f>IF(_motor!$B$590=0,"",_motor!$M$590-_motor!$O$590)</f>
        <v/>
      </c>
      <c r="L10" s="2" t="str">
        <f>IF(_motor!$B$590=0,"",IF(_motor!$O$590&lt;_motor!$M$590-2,"▲ VARIABLE OCULTA (sube "&amp;TEXT(_motor!$M$590-_motor!$O$590,"0")&amp;" puestos)",IF(_motor!$O$590&gt;_motor!$M$590+2,"▼ Sobrevalorada en directo (baja "&amp;TEXT(_motor!$O$590-_motor!$M$590,"0")&amp;")","= Estable")))</f>
        <v/>
      </c>
    </row>
    <row r="11" spans="1:12" x14ac:dyDescent="0.2">
      <c r="A11" s="6" t="str">
        <f>IF(_motor!$B$591=0,"",'02 · Variables'!$B$12)</f>
        <v/>
      </c>
      <c r="B11" s="2" t="str">
        <f>IF(_motor!$B$591=0,"",'02 · Variables'!$C$12)</f>
        <v/>
      </c>
      <c r="C11" s="9" t="str">
        <f>IF(_motor!$B$591=0,"",_motor!$E$591)</f>
        <v/>
      </c>
      <c r="D11" s="9" t="str">
        <f>IF(_motor!$B$591=0,"",_motor!$F$591)</f>
        <v/>
      </c>
      <c r="E11" s="8" t="str">
        <f>IF(OR(_motor!$B$591=0,_motor!$B$673=0),"",_motor!$E$591/_motor!$B$673)</f>
        <v/>
      </c>
      <c r="F11" s="8" t="str">
        <f>IF(OR(_motor!$B$591=0,_motor!$B$673=0),"",_motor!$F$591/_motor!$B$673)</f>
        <v/>
      </c>
      <c r="G11" s="7" t="str">
        <f>IF(_motor!$B$591=0,"",SUMPRODUCT(_motor!$B$586:$B$665*(_motor!$E$586:$E$665&gt;_motor!$E$591))+(SUMPRODUCT(_motor!$B$586:$B$665*(_motor!$E$586:$E$665=_motor!$E$591))+1)/2)</f>
        <v/>
      </c>
      <c r="H11" s="7" t="str">
        <f>IF(_motor!$B$591=0,"",SUMPRODUCT(_motor!$B$586:$B$665*(_motor!$F$586:$F$665&gt;_motor!$F$591))+(SUMPRODUCT(_motor!$B$586:$B$665*(_motor!$F$586:$F$665=_motor!$F$591))+1)/2)</f>
        <v/>
      </c>
      <c r="I11" s="2" t="str">
        <f>IF(_motor!$B$591=0,"",IF(AND(ABS(_motor!$E$591-_motor!$B$669)&lt;=_motor!$B$677+0.000000001,ABS(_motor!$F$591-_motor!$B$669)&lt;=_motor!$B$677+0.000000001),"5 · Pelotón (no concluyente)",IF(AND(_motor!$E$591&gt;=_motor!$B$669,_motor!$F$591&lt;_motor!$B$669),"1 · Entrada / determinante",IF(AND(_motor!$E$591&gt;=_motor!$B$669,_motor!$F$591&gt;=_motor!$B$669),"2 · Intermedia / de enlace",IF(AND(_motor!$E$591&lt;_motor!$B$669,_motor!$F$591&gt;=_motor!$B$669),"3 · Resultado","4 · Excluida / autónoma")))))</f>
        <v/>
      </c>
      <c r="J11" s="2" t="str">
        <f>IF(_motor!$B$591=0,"",IF(AND(ABS(_motor!$E$591-_motor!$B$669)&lt;=_motor!$B$677+0.000000001,ABS(_motor!$F$591-_motor!$B$669)&lt;=_motor!$B$677+0.000000001),"Reguladora",IF(AND(_motor!$E$591&gt;=_motor!$B$669,_motor!$F$591&lt;0.5*_motor!$B$669),"Determinante / entorno",IF(AND(_motor!$E$591&gt;=_motor!$B$669,_motor!$F$591&lt;_motor!$B$669),"Palanca secundaria",IF(AND(_motor!$E$591&gt;=_motor!$B$669,_motor!$F$591&gt;=_motor!$B$669),"Clave / de enlace",IF(AND(_motor!$F$591&gt;=_motor!$B$669,_motor!$E$591&gt;=0.5*_motor!$B$669),"Objetivo",IF(_motor!$F$591&gt;=_motor!$B$669,"Resultado","Autónoma")))))))</f>
        <v/>
      </c>
      <c r="K11" s="2" t="str">
        <f>IF(_motor!$B$591=0,"",_motor!$M$591-_motor!$O$591)</f>
        <v/>
      </c>
      <c r="L11" s="2" t="str">
        <f>IF(_motor!$B$591=0,"",IF(_motor!$O$591&lt;_motor!$M$591-2,"▲ VARIABLE OCULTA (sube "&amp;TEXT(_motor!$M$591-_motor!$O$591,"0")&amp;" puestos)",IF(_motor!$O$591&gt;_motor!$M$591+2,"▼ Sobrevalorada en directo (baja "&amp;TEXT(_motor!$O$591-_motor!$M$591,"0")&amp;")","= Estable")))</f>
        <v/>
      </c>
    </row>
    <row r="12" spans="1:12" x14ac:dyDescent="0.2">
      <c r="A12" s="6" t="str">
        <f>IF(_motor!$B$592=0,"",'02 · Variables'!$B$13)</f>
        <v/>
      </c>
      <c r="B12" s="2" t="str">
        <f>IF(_motor!$B$592=0,"",'02 · Variables'!$C$13)</f>
        <v/>
      </c>
      <c r="C12" s="9" t="str">
        <f>IF(_motor!$B$592=0,"",_motor!$E$592)</f>
        <v/>
      </c>
      <c r="D12" s="9" t="str">
        <f>IF(_motor!$B$592=0,"",_motor!$F$592)</f>
        <v/>
      </c>
      <c r="E12" s="8" t="str">
        <f>IF(OR(_motor!$B$592=0,_motor!$B$673=0),"",_motor!$E$592/_motor!$B$673)</f>
        <v/>
      </c>
      <c r="F12" s="8" t="str">
        <f>IF(OR(_motor!$B$592=0,_motor!$B$673=0),"",_motor!$F$592/_motor!$B$673)</f>
        <v/>
      </c>
      <c r="G12" s="7" t="str">
        <f>IF(_motor!$B$592=0,"",SUMPRODUCT(_motor!$B$586:$B$665*(_motor!$E$586:$E$665&gt;_motor!$E$592))+(SUMPRODUCT(_motor!$B$586:$B$665*(_motor!$E$586:$E$665=_motor!$E$592))+1)/2)</f>
        <v/>
      </c>
      <c r="H12" s="7" t="str">
        <f>IF(_motor!$B$592=0,"",SUMPRODUCT(_motor!$B$586:$B$665*(_motor!$F$586:$F$665&gt;_motor!$F$592))+(SUMPRODUCT(_motor!$B$586:$B$665*(_motor!$F$586:$F$665=_motor!$F$592))+1)/2)</f>
        <v/>
      </c>
      <c r="I12" s="2" t="str">
        <f>IF(_motor!$B$592=0,"",IF(AND(ABS(_motor!$E$592-_motor!$B$669)&lt;=_motor!$B$677+0.000000001,ABS(_motor!$F$592-_motor!$B$669)&lt;=_motor!$B$677+0.000000001),"5 · Pelotón (no concluyente)",IF(AND(_motor!$E$592&gt;=_motor!$B$669,_motor!$F$592&lt;_motor!$B$669),"1 · Entrada / determinante",IF(AND(_motor!$E$592&gt;=_motor!$B$669,_motor!$F$592&gt;=_motor!$B$669),"2 · Intermedia / de enlace",IF(AND(_motor!$E$592&lt;_motor!$B$669,_motor!$F$592&gt;=_motor!$B$669),"3 · Resultado","4 · Excluida / autónoma")))))</f>
        <v/>
      </c>
      <c r="J12" s="2" t="str">
        <f>IF(_motor!$B$592=0,"",IF(AND(ABS(_motor!$E$592-_motor!$B$669)&lt;=_motor!$B$677+0.000000001,ABS(_motor!$F$592-_motor!$B$669)&lt;=_motor!$B$677+0.000000001),"Reguladora",IF(AND(_motor!$E$592&gt;=_motor!$B$669,_motor!$F$592&lt;0.5*_motor!$B$669),"Determinante / entorno",IF(AND(_motor!$E$592&gt;=_motor!$B$669,_motor!$F$592&lt;_motor!$B$669),"Palanca secundaria",IF(AND(_motor!$E$592&gt;=_motor!$B$669,_motor!$F$592&gt;=_motor!$B$669),"Clave / de enlace",IF(AND(_motor!$F$592&gt;=_motor!$B$669,_motor!$E$592&gt;=0.5*_motor!$B$669),"Objetivo",IF(_motor!$F$592&gt;=_motor!$B$669,"Resultado","Autónoma")))))))</f>
        <v/>
      </c>
      <c r="K12" s="2" t="str">
        <f>IF(_motor!$B$592=0,"",_motor!$M$592-_motor!$O$592)</f>
        <v/>
      </c>
      <c r="L12" s="2" t="str">
        <f>IF(_motor!$B$592=0,"",IF(_motor!$O$592&lt;_motor!$M$592-2,"▲ VARIABLE OCULTA (sube "&amp;TEXT(_motor!$M$592-_motor!$O$592,"0")&amp;" puestos)",IF(_motor!$O$592&gt;_motor!$M$592+2,"▼ Sobrevalorada en directo (baja "&amp;TEXT(_motor!$O$592-_motor!$M$592,"0")&amp;")","= Estable")))</f>
        <v/>
      </c>
    </row>
    <row r="13" spans="1:12" x14ac:dyDescent="0.2">
      <c r="A13" s="6" t="str">
        <f>IF(_motor!$B$593=0,"",'02 · Variables'!$B$14)</f>
        <v/>
      </c>
      <c r="B13" s="2" t="str">
        <f>IF(_motor!$B$593=0,"",'02 · Variables'!$C$14)</f>
        <v/>
      </c>
      <c r="C13" s="9" t="str">
        <f>IF(_motor!$B$593=0,"",_motor!$E$593)</f>
        <v/>
      </c>
      <c r="D13" s="9" t="str">
        <f>IF(_motor!$B$593=0,"",_motor!$F$593)</f>
        <v/>
      </c>
      <c r="E13" s="8" t="str">
        <f>IF(OR(_motor!$B$593=0,_motor!$B$673=0),"",_motor!$E$593/_motor!$B$673)</f>
        <v/>
      </c>
      <c r="F13" s="8" t="str">
        <f>IF(OR(_motor!$B$593=0,_motor!$B$673=0),"",_motor!$F$593/_motor!$B$673)</f>
        <v/>
      </c>
      <c r="G13" s="7" t="str">
        <f>IF(_motor!$B$593=0,"",SUMPRODUCT(_motor!$B$586:$B$665*(_motor!$E$586:$E$665&gt;_motor!$E$593))+(SUMPRODUCT(_motor!$B$586:$B$665*(_motor!$E$586:$E$665=_motor!$E$593))+1)/2)</f>
        <v/>
      </c>
      <c r="H13" s="7" t="str">
        <f>IF(_motor!$B$593=0,"",SUMPRODUCT(_motor!$B$586:$B$665*(_motor!$F$586:$F$665&gt;_motor!$F$593))+(SUMPRODUCT(_motor!$B$586:$B$665*(_motor!$F$586:$F$665=_motor!$F$593))+1)/2)</f>
        <v/>
      </c>
      <c r="I13" s="2" t="str">
        <f>IF(_motor!$B$593=0,"",IF(AND(ABS(_motor!$E$593-_motor!$B$669)&lt;=_motor!$B$677+0.000000001,ABS(_motor!$F$593-_motor!$B$669)&lt;=_motor!$B$677+0.000000001),"5 · Pelotón (no concluyente)",IF(AND(_motor!$E$593&gt;=_motor!$B$669,_motor!$F$593&lt;_motor!$B$669),"1 · Entrada / determinante",IF(AND(_motor!$E$593&gt;=_motor!$B$669,_motor!$F$593&gt;=_motor!$B$669),"2 · Intermedia / de enlace",IF(AND(_motor!$E$593&lt;_motor!$B$669,_motor!$F$593&gt;=_motor!$B$669),"3 · Resultado","4 · Excluida / autónoma")))))</f>
        <v/>
      </c>
      <c r="J13" s="2" t="str">
        <f>IF(_motor!$B$593=0,"",IF(AND(ABS(_motor!$E$593-_motor!$B$669)&lt;=_motor!$B$677+0.000000001,ABS(_motor!$F$593-_motor!$B$669)&lt;=_motor!$B$677+0.000000001),"Reguladora",IF(AND(_motor!$E$593&gt;=_motor!$B$669,_motor!$F$593&lt;0.5*_motor!$B$669),"Determinante / entorno",IF(AND(_motor!$E$593&gt;=_motor!$B$669,_motor!$F$593&lt;_motor!$B$669),"Palanca secundaria",IF(AND(_motor!$E$593&gt;=_motor!$B$669,_motor!$F$593&gt;=_motor!$B$669),"Clave / de enlace",IF(AND(_motor!$F$593&gt;=_motor!$B$669,_motor!$E$593&gt;=0.5*_motor!$B$669),"Objetivo",IF(_motor!$F$593&gt;=_motor!$B$669,"Resultado","Autónoma")))))))</f>
        <v/>
      </c>
      <c r="K13" s="2" t="str">
        <f>IF(_motor!$B$593=0,"",_motor!$M$593-_motor!$O$593)</f>
        <v/>
      </c>
      <c r="L13" s="2" t="str">
        <f>IF(_motor!$B$593=0,"",IF(_motor!$O$593&lt;_motor!$M$593-2,"▲ VARIABLE OCULTA (sube "&amp;TEXT(_motor!$M$593-_motor!$O$593,"0")&amp;" puestos)",IF(_motor!$O$593&gt;_motor!$M$593+2,"▼ Sobrevalorada en directo (baja "&amp;TEXT(_motor!$O$593-_motor!$M$593,"0")&amp;")","= Estable")))</f>
        <v/>
      </c>
    </row>
    <row r="14" spans="1:12" x14ac:dyDescent="0.2">
      <c r="A14" s="6" t="str">
        <f>IF(_motor!$B$594=0,"",'02 · Variables'!$B$15)</f>
        <v/>
      </c>
      <c r="B14" s="2" t="str">
        <f>IF(_motor!$B$594=0,"",'02 · Variables'!$C$15)</f>
        <v/>
      </c>
      <c r="C14" s="9" t="str">
        <f>IF(_motor!$B$594=0,"",_motor!$E$594)</f>
        <v/>
      </c>
      <c r="D14" s="9" t="str">
        <f>IF(_motor!$B$594=0,"",_motor!$F$594)</f>
        <v/>
      </c>
      <c r="E14" s="8" t="str">
        <f>IF(OR(_motor!$B$594=0,_motor!$B$673=0),"",_motor!$E$594/_motor!$B$673)</f>
        <v/>
      </c>
      <c r="F14" s="8" t="str">
        <f>IF(OR(_motor!$B$594=0,_motor!$B$673=0),"",_motor!$F$594/_motor!$B$673)</f>
        <v/>
      </c>
      <c r="G14" s="7" t="str">
        <f>IF(_motor!$B$594=0,"",SUMPRODUCT(_motor!$B$586:$B$665*(_motor!$E$586:$E$665&gt;_motor!$E$594))+(SUMPRODUCT(_motor!$B$586:$B$665*(_motor!$E$586:$E$665=_motor!$E$594))+1)/2)</f>
        <v/>
      </c>
      <c r="H14" s="7" t="str">
        <f>IF(_motor!$B$594=0,"",SUMPRODUCT(_motor!$B$586:$B$665*(_motor!$F$586:$F$665&gt;_motor!$F$594))+(SUMPRODUCT(_motor!$B$586:$B$665*(_motor!$F$586:$F$665=_motor!$F$594))+1)/2)</f>
        <v/>
      </c>
      <c r="I14" s="2" t="str">
        <f>IF(_motor!$B$594=0,"",IF(AND(ABS(_motor!$E$594-_motor!$B$669)&lt;=_motor!$B$677+0.000000001,ABS(_motor!$F$594-_motor!$B$669)&lt;=_motor!$B$677+0.000000001),"5 · Pelotón (no concluyente)",IF(AND(_motor!$E$594&gt;=_motor!$B$669,_motor!$F$594&lt;_motor!$B$669),"1 · Entrada / determinante",IF(AND(_motor!$E$594&gt;=_motor!$B$669,_motor!$F$594&gt;=_motor!$B$669),"2 · Intermedia / de enlace",IF(AND(_motor!$E$594&lt;_motor!$B$669,_motor!$F$594&gt;=_motor!$B$669),"3 · Resultado","4 · Excluida / autónoma")))))</f>
        <v/>
      </c>
      <c r="J14" s="2" t="str">
        <f>IF(_motor!$B$594=0,"",IF(AND(ABS(_motor!$E$594-_motor!$B$669)&lt;=_motor!$B$677+0.000000001,ABS(_motor!$F$594-_motor!$B$669)&lt;=_motor!$B$677+0.000000001),"Reguladora",IF(AND(_motor!$E$594&gt;=_motor!$B$669,_motor!$F$594&lt;0.5*_motor!$B$669),"Determinante / entorno",IF(AND(_motor!$E$594&gt;=_motor!$B$669,_motor!$F$594&lt;_motor!$B$669),"Palanca secundaria",IF(AND(_motor!$E$594&gt;=_motor!$B$669,_motor!$F$594&gt;=_motor!$B$669),"Clave / de enlace",IF(AND(_motor!$F$594&gt;=_motor!$B$669,_motor!$E$594&gt;=0.5*_motor!$B$669),"Objetivo",IF(_motor!$F$594&gt;=_motor!$B$669,"Resultado","Autónoma")))))))</f>
        <v/>
      </c>
      <c r="K14" s="2" t="str">
        <f>IF(_motor!$B$594=0,"",_motor!$M$594-_motor!$O$594)</f>
        <v/>
      </c>
      <c r="L14" s="2" t="str">
        <f>IF(_motor!$B$594=0,"",IF(_motor!$O$594&lt;_motor!$M$594-2,"▲ VARIABLE OCULTA (sube "&amp;TEXT(_motor!$M$594-_motor!$O$594,"0")&amp;" puestos)",IF(_motor!$O$594&gt;_motor!$M$594+2,"▼ Sobrevalorada en directo (baja "&amp;TEXT(_motor!$O$594-_motor!$M$594,"0")&amp;")","= Estable")))</f>
        <v/>
      </c>
    </row>
    <row r="15" spans="1:12" x14ac:dyDescent="0.2">
      <c r="A15" s="6" t="str">
        <f>IF(_motor!$B$595=0,"",'02 · Variables'!$B$16)</f>
        <v/>
      </c>
      <c r="B15" s="2" t="str">
        <f>IF(_motor!$B$595=0,"",'02 · Variables'!$C$16)</f>
        <v/>
      </c>
      <c r="C15" s="9" t="str">
        <f>IF(_motor!$B$595=0,"",_motor!$E$595)</f>
        <v/>
      </c>
      <c r="D15" s="9" t="str">
        <f>IF(_motor!$B$595=0,"",_motor!$F$595)</f>
        <v/>
      </c>
      <c r="E15" s="8" t="str">
        <f>IF(OR(_motor!$B$595=0,_motor!$B$673=0),"",_motor!$E$595/_motor!$B$673)</f>
        <v/>
      </c>
      <c r="F15" s="8" t="str">
        <f>IF(OR(_motor!$B$595=0,_motor!$B$673=0),"",_motor!$F$595/_motor!$B$673)</f>
        <v/>
      </c>
      <c r="G15" s="7" t="str">
        <f>IF(_motor!$B$595=0,"",SUMPRODUCT(_motor!$B$586:$B$665*(_motor!$E$586:$E$665&gt;_motor!$E$595))+(SUMPRODUCT(_motor!$B$586:$B$665*(_motor!$E$586:$E$665=_motor!$E$595))+1)/2)</f>
        <v/>
      </c>
      <c r="H15" s="7" t="str">
        <f>IF(_motor!$B$595=0,"",SUMPRODUCT(_motor!$B$586:$B$665*(_motor!$F$586:$F$665&gt;_motor!$F$595))+(SUMPRODUCT(_motor!$B$586:$B$665*(_motor!$F$586:$F$665=_motor!$F$595))+1)/2)</f>
        <v/>
      </c>
      <c r="I15" s="2" t="str">
        <f>IF(_motor!$B$595=0,"",IF(AND(ABS(_motor!$E$595-_motor!$B$669)&lt;=_motor!$B$677+0.000000001,ABS(_motor!$F$595-_motor!$B$669)&lt;=_motor!$B$677+0.000000001),"5 · Pelotón (no concluyente)",IF(AND(_motor!$E$595&gt;=_motor!$B$669,_motor!$F$595&lt;_motor!$B$669),"1 · Entrada / determinante",IF(AND(_motor!$E$595&gt;=_motor!$B$669,_motor!$F$595&gt;=_motor!$B$669),"2 · Intermedia / de enlace",IF(AND(_motor!$E$595&lt;_motor!$B$669,_motor!$F$595&gt;=_motor!$B$669),"3 · Resultado","4 · Excluida / autónoma")))))</f>
        <v/>
      </c>
      <c r="J15" s="2" t="str">
        <f>IF(_motor!$B$595=0,"",IF(AND(ABS(_motor!$E$595-_motor!$B$669)&lt;=_motor!$B$677+0.000000001,ABS(_motor!$F$595-_motor!$B$669)&lt;=_motor!$B$677+0.000000001),"Reguladora",IF(AND(_motor!$E$595&gt;=_motor!$B$669,_motor!$F$595&lt;0.5*_motor!$B$669),"Determinante / entorno",IF(AND(_motor!$E$595&gt;=_motor!$B$669,_motor!$F$595&lt;_motor!$B$669),"Palanca secundaria",IF(AND(_motor!$E$595&gt;=_motor!$B$669,_motor!$F$595&gt;=_motor!$B$669),"Clave / de enlace",IF(AND(_motor!$F$595&gt;=_motor!$B$669,_motor!$E$595&gt;=0.5*_motor!$B$669),"Objetivo",IF(_motor!$F$595&gt;=_motor!$B$669,"Resultado","Autónoma")))))))</f>
        <v/>
      </c>
      <c r="K15" s="2" t="str">
        <f>IF(_motor!$B$595=0,"",_motor!$M$595-_motor!$O$595)</f>
        <v/>
      </c>
      <c r="L15" s="2" t="str">
        <f>IF(_motor!$B$595=0,"",IF(_motor!$O$595&lt;_motor!$M$595-2,"▲ VARIABLE OCULTA (sube "&amp;TEXT(_motor!$M$595-_motor!$O$595,"0")&amp;" puestos)",IF(_motor!$O$595&gt;_motor!$M$595+2,"▼ Sobrevalorada en directo (baja "&amp;TEXT(_motor!$O$595-_motor!$M$595,"0")&amp;")","= Estable")))</f>
        <v/>
      </c>
    </row>
    <row r="16" spans="1:12" x14ac:dyDescent="0.2">
      <c r="A16" s="6" t="str">
        <f>IF(_motor!$B$596=0,"",'02 · Variables'!$B$17)</f>
        <v/>
      </c>
      <c r="B16" s="2" t="str">
        <f>IF(_motor!$B$596=0,"",'02 · Variables'!$C$17)</f>
        <v/>
      </c>
      <c r="C16" s="9" t="str">
        <f>IF(_motor!$B$596=0,"",_motor!$E$596)</f>
        <v/>
      </c>
      <c r="D16" s="9" t="str">
        <f>IF(_motor!$B$596=0,"",_motor!$F$596)</f>
        <v/>
      </c>
      <c r="E16" s="8" t="str">
        <f>IF(OR(_motor!$B$596=0,_motor!$B$673=0),"",_motor!$E$596/_motor!$B$673)</f>
        <v/>
      </c>
      <c r="F16" s="8" t="str">
        <f>IF(OR(_motor!$B$596=0,_motor!$B$673=0),"",_motor!$F$596/_motor!$B$673)</f>
        <v/>
      </c>
      <c r="G16" s="7" t="str">
        <f>IF(_motor!$B$596=0,"",SUMPRODUCT(_motor!$B$586:$B$665*(_motor!$E$586:$E$665&gt;_motor!$E$596))+(SUMPRODUCT(_motor!$B$586:$B$665*(_motor!$E$586:$E$665=_motor!$E$596))+1)/2)</f>
        <v/>
      </c>
      <c r="H16" s="7" t="str">
        <f>IF(_motor!$B$596=0,"",SUMPRODUCT(_motor!$B$586:$B$665*(_motor!$F$586:$F$665&gt;_motor!$F$596))+(SUMPRODUCT(_motor!$B$586:$B$665*(_motor!$F$586:$F$665=_motor!$F$596))+1)/2)</f>
        <v/>
      </c>
      <c r="I16" s="2" t="str">
        <f>IF(_motor!$B$596=0,"",IF(AND(ABS(_motor!$E$596-_motor!$B$669)&lt;=_motor!$B$677+0.000000001,ABS(_motor!$F$596-_motor!$B$669)&lt;=_motor!$B$677+0.000000001),"5 · Pelotón (no concluyente)",IF(AND(_motor!$E$596&gt;=_motor!$B$669,_motor!$F$596&lt;_motor!$B$669),"1 · Entrada / determinante",IF(AND(_motor!$E$596&gt;=_motor!$B$669,_motor!$F$596&gt;=_motor!$B$669),"2 · Intermedia / de enlace",IF(AND(_motor!$E$596&lt;_motor!$B$669,_motor!$F$596&gt;=_motor!$B$669),"3 · Resultado","4 · Excluida / autónoma")))))</f>
        <v/>
      </c>
      <c r="J16" s="2" t="str">
        <f>IF(_motor!$B$596=0,"",IF(AND(ABS(_motor!$E$596-_motor!$B$669)&lt;=_motor!$B$677+0.000000001,ABS(_motor!$F$596-_motor!$B$669)&lt;=_motor!$B$677+0.000000001),"Reguladora",IF(AND(_motor!$E$596&gt;=_motor!$B$669,_motor!$F$596&lt;0.5*_motor!$B$669),"Determinante / entorno",IF(AND(_motor!$E$596&gt;=_motor!$B$669,_motor!$F$596&lt;_motor!$B$669),"Palanca secundaria",IF(AND(_motor!$E$596&gt;=_motor!$B$669,_motor!$F$596&gt;=_motor!$B$669),"Clave / de enlace",IF(AND(_motor!$F$596&gt;=_motor!$B$669,_motor!$E$596&gt;=0.5*_motor!$B$669),"Objetivo",IF(_motor!$F$596&gt;=_motor!$B$669,"Resultado","Autónoma")))))))</f>
        <v/>
      </c>
      <c r="K16" s="2" t="str">
        <f>IF(_motor!$B$596=0,"",_motor!$M$596-_motor!$O$596)</f>
        <v/>
      </c>
      <c r="L16" s="2" t="str">
        <f>IF(_motor!$B$596=0,"",IF(_motor!$O$596&lt;_motor!$M$596-2,"▲ VARIABLE OCULTA (sube "&amp;TEXT(_motor!$M$596-_motor!$O$596,"0")&amp;" puestos)",IF(_motor!$O$596&gt;_motor!$M$596+2,"▼ Sobrevalorada en directo (baja "&amp;TEXT(_motor!$O$596-_motor!$M$596,"0")&amp;")","= Estable")))</f>
        <v/>
      </c>
    </row>
    <row r="17" spans="1:12" x14ac:dyDescent="0.2">
      <c r="A17" s="6" t="str">
        <f>IF(_motor!$B$597=0,"",'02 · Variables'!$B$18)</f>
        <v/>
      </c>
      <c r="B17" s="2" t="str">
        <f>IF(_motor!$B$597=0,"",'02 · Variables'!$C$18)</f>
        <v/>
      </c>
      <c r="C17" s="9" t="str">
        <f>IF(_motor!$B$597=0,"",_motor!$E$597)</f>
        <v/>
      </c>
      <c r="D17" s="9" t="str">
        <f>IF(_motor!$B$597=0,"",_motor!$F$597)</f>
        <v/>
      </c>
      <c r="E17" s="8" t="str">
        <f>IF(OR(_motor!$B$597=0,_motor!$B$673=0),"",_motor!$E$597/_motor!$B$673)</f>
        <v/>
      </c>
      <c r="F17" s="8" t="str">
        <f>IF(OR(_motor!$B$597=0,_motor!$B$673=0),"",_motor!$F$597/_motor!$B$673)</f>
        <v/>
      </c>
      <c r="G17" s="7" t="str">
        <f>IF(_motor!$B$597=0,"",SUMPRODUCT(_motor!$B$586:$B$665*(_motor!$E$586:$E$665&gt;_motor!$E$597))+(SUMPRODUCT(_motor!$B$586:$B$665*(_motor!$E$586:$E$665=_motor!$E$597))+1)/2)</f>
        <v/>
      </c>
      <c r="H17" s="7" t="str">
        <f>IF(_motor!$B$597=0,"",SUMPRODUCT(_motor!$B$586:$B$665*(_motor!$F$586:$F$665&gt;_motor!$F$597))+(SUMPRODUCT(_motor!$B$586:$B$665*(_motor!$F$586:$F$665=_motor!$F$597))+1)/2)</f>
        <v/>
      </c>
      <c r="I17" s="2" t="str">
        <f>IF(_motor!$B$597=0,"",IF(AND(ABS(_motor!$E$597-_motor!$B$669)&lt;=_motor!$B$677+0.000000001,ABS(_motor!$F$597-_motor!$B$669)&lt;=_motor!$B$677+0.000000001),"5 · Pelotón (no concluyente)",IF(AND(_motor!$E$597&gt;=_motor!$B$669,_motor!$F$597&lt;_motor!$B$669),"1 · Entrada / determinante",IF(AND(_motor!$E$597&gt;=_motor!$B$669,_motor!$F$597&gt;=_motor!$B$669),"2 · Intermedia / de enlace",IF(AND(_motor!$E$597&lt;_motor!$B$669,_motor!$F$597&gt;=_motor!$B$669),"3 · Resultado","4 · Excluida / autónoma")))))</f>
        <v/>
      </c>
      <c r="J17" s="2" t="str">
        <f>IF(_motor!$B$597=0,"",IF(AND(ABS(_motor!$E$597-_motor!$B$669)&lt;=_motor!$B$677+0.000000001,ABS(_motor!$F$597-_motor!$B$669)&lt;=_motor!$B$677+0.000000001),"Reguladora",IF(AND(_motor!$E$597&gt;=_motor!$B$669,_motor!$F$597&lt;0.5*_motor!$B$669),"Determinante / entorno",IF(AND(_motor!$E$597&gt;=_motor!$B$669,_motor!$F$597&lt;_motor!$B$669),"Palanca secundaria",IF(AND(_motor!$E$597&gt;=_motor!$B$669,_motor!$F$597&gt;=_motor!$B$669),"Clave / de enlace",IF(AND(_motor!$F$597&gt;=_motor!$B$669,_motor!$E$597&gt;=0.5*_motor!$B$669),"Objetivo",IF(_motor!$F$597&gt;=_motor!$B$669,"Resultado","Autónoma")))))))</f>
        <v/>
      </c>
      <c r="K17" s="2" t="str">
        <f>IF(_motor!$B$597=0,"",_motor!$M$597-_motor!$O$597)</f>
        <v/>
      </c>
      <c r="L17" s="2" t="str">
        <f>IF(_motor!$B$597=0,"",IF(_motor!$O$597&lt;_motor!$M$597-2,"▲ VARIABLE OCULTA (sube "&amp;TEXT(_motor!$M$597-_motor!$O$597,"0")&amp;" puestos)",IF(_motor!$O$597&gt;_motor!$M$597+2,"▼ Sobrevalorada en directo (baja "&amp;TEXT(_motor!$O$597-_motor!$M$597,"0")&amp;")","= Estable")))</f>
        <v/>
      </c>
    </row>
    <row r="18" spans="1:12" x14ac:dyDescent="0.2">
      <c r="A18" s="6" t="str">
        <f>IF(_motor!$B$598=0,"",'02 · Variables'!$B$19)</f>
        <v/>
      </c>
      <c r="B18" s="2" t="str">
        <f>IF(_motor!$B$598=0,"",'02 · Variables'!$C$19)</f>
        <v/>
      </c>
      <c r="C18" s="9" t="str">
        <f>IF(_motor!$B$598=0,"",_motor!$E$598)</f>
        <v/>
      </c>
      <c r="D18" s="9" t="str">
        <f>IF(_motor!$B$598=0,"",_motor!$F$598)</f>
        <v/>
      </c>
      <c r="E18" s="8" t="str">
        <f>IF(OR(_motor!$B$598=0,_motor!$B$673=0),"",_motor!$E$598/_motor!$B$673)</f>
        <v/>
      </c>
      <c r="F18" s="8" t="str">
        <f>IF(OR(_motor!$B$598=0,_motor!$B$673=0),"",_motor!$F$598/_motor!$B$673)</f>
        <v/>
      </c>
      <c r="G18" s="7" t="str">
        <f>IF(_motor!$B$598=0,"",SUMPRODUCT(_motor!$B$586:$B$665*(_motor!$E$586:$E$665&gt;_motor!$E$598))+(SUMPRODUCT(_motor!$B$586:$B$665*(_motor!$E$586:$E$665=_motor!$E$598))+1)/2)</f>
        <v/>
      </c>
      <c r="H18" s="7" t="str">
        <f>IF(_motor!$B$598=0,"",SUMPRODUCT(_motor!$B$586:$B$665*(_motor!$F$586:$F$665&gt;_motor!$F$598))+(SUMPRODUCT(_motor!$B$586:$B$665*(_motor!$F$586:$F$665=_motor!$F$598))+1)/2)</f>
        <v/>
      </c>
      <c r="I18" s="2" t="str">
        <f>IF(_motor!$B$598=0,"",IF(AND(ABS(_motor!$E$598-_motor!$B$669)&lt;=_motor!$B$677+0.000000001,ABS(_motor!$F$598-_motor!$B$669)&lt;=_motor!$B$677+0.000000001),"5 · Pelotón (no concluyente)",IF(AND(_motor!$E$598&gt;=_motor!$B$669,_motor!$F$598&lt;_motor!$B$669),"1 · Entrada / determinante",IF(AND(_motor!$E$598&gt;=_motor!$B$669,_motor!$F$598&gt;=_motor!$B$669),"2 · Intermedia / de enlace",IF(AND(_motor!$E$598&lt;_motor!$B$669,_motor!$F$598&gt;=_motor!$B$669),"3 · Resultado","4 · Excluida / autónoma")))))</f>
        <v/>
      </c>
      <c r="J18" s="2" t="str">
        <f>IF(_motor!$B$598=0,"",IF(AND(ABS(_motor!$E$598-_motor!$B$669)&lt;=_motor!$B$677+0.000000001,ABS(_motor!$F$598-_motor!$B$669)&lt;=_motor!$B$677+0.000000001),"Reguladora",IF(AND(_motor!$E$598&gt;=_motor!$B$669,_motor!$F$598&lt;0.5*_motor!$B$669),"Determinante / entorno",IF(AND(_motor!$E$598&gt;=_motor!$B$669,_motor!$F$598&lt;_motor!$B$669),"Palanca secundaria",IF(AND(_motor!$E$598&gt;=_motor!$B$669,_motor!$F$598&gt;=_motor!$B$669),"Clave / de enlace",IF(AND(_motor!$F$598&gt;=_motor!$B$669,_motor!$E$598&gt;=0.5*_motor!$B$669),"Objetivo",IF(_motor!$F$598&gt;=_motor!$B$669,"Resultado","Autónoma")))))))</f>
        <v/>
      </c>
      <c r="K18" s="2" t="str">
        <f>IF(_motor!$B$598=0,"",_motor!$M$598-_motor!$O$598)</f>
        <v/>
      </c>
      <c r="L18" s="2" t="str">
        <f>IF(_motor!$B$598=0,"",IF(_motor!$O$598&lt;_motor!$M$598-2,"▲ VARIABLE OCULTA (sube "&amp;TEXT(_motor!$M$598-_motor!$O$598,"0")&amp;" puestos)",IF(_motor!$O$598&gt;_motor!$M$598+2,"▼ Sobrevalorada en directo (baja "&amp;TEXT(_motor!$O$598-_motor!$M$598,"0")&amp;")","= Estable")))</f>
        <v/>
      </c>
    </row>
    <row r="19" spans="1:12" x14ac:dyDescent="0.2">
      <c r="A19" s="6" t="str">
        <f>IF(_motor!$B$599=0,"",'02 · Variables'!$B$20)</f>
        <v/>
      </c>
      <c r="B19" s="2" t="str">
        <f>IF(_motor!$B$599=0,"",'02 · Variables'!$C$20)</f>
        <v/>
      </c>
      <c r="C19" s="9" t="str">
        <f>IF(_motor!$B$599=0,"",_motor!$E$599)</f>
        <v/>
      </c>
      <c r="D19" s="9" t="str">
        <f>IF(_motor!$B$599=0,"",_motor!$F$599)</f>
        <v/>
      </c>
      <c r="E19" s="8" t="str">
        <f>IF(OR(_motor!$B$599=0,_motor!$B$673=0),"",_motor!$E$599/_motor!$B$673)</f>
        <v/>
      </c>
      <c r="F19" s="8" t="str">
        <f>IF(OR(_motor!$B$599=0,_motor!$B$673=0),"",_motor!$F$599/_motor!$B$673)</f>
        <v/>
      </c>
      <c r="G19" s="7" t="str">
        <f>IF(_motor!$B$599=0,"",SUMPRODUCT(_motor!$B$586:$B$665*(_motor!$E$586:$E$665&gt;_motor!$E$599))+(SUMPRODUCT(_motor!$B$586:$B$665*(_motor!$E$586:$E$665=_motor!$E$599))+1)/2)</f>
        <v/>
      </c>
      <c r="H19" s="7" t="str">
        <f>IF(_motor!$B$599=0,"",SUMPRODUCT(_motor!$B$586:$B$665*(_motor!$F$586:$F$665&gt;_motor!$F$599))+(SUMPRODUCT(_motor!$B$586:$B$665*(_motor!$F$586:$F$665=_motor!$F$599))+1)/2)</f>
        <v/>
      </c>
      <c r="I19" s="2" t="str">
        <f>IF(_motor!$B$599=0,"",IF(AND(ABS(_motor!$E$599-_motor!$B$669)&lt;=_motor!$B$677+0.000000001,ABS(_motor!$F$599-_motor!$B$669)&lt;=_motor!$B$677+0.000000001),"5 · Pelotón (no concluyente)",IF(AND(_motor!$E$599&gt;=_motor!$B$669,_motor!$F$599&lt;_motor!$B$669),"1 · Entrada / determinante",IF(AND(_motor!$E$599&gt;=_motor!$B$669,_motor!$F$599&gt;=_motor!$B$669),"2 · Intermedia / de enlace",IF(AND(_motor!$E$599&lt;_motor!$B$669,_motor!$F$599&gt;=_motor!$B$669),"3 · Resultado","4 · Excluida / autónoma")))))</f>
        <v/>
      </c>
      <c r="J19" s="2" t="str">
        <f>IF(_motor!$B$599=0,"",IF(AND(ABS(_motor!$E$599-_motor!$B$669)&lt;=_motor!$B$677+0.000000001,ABS(_motor!$F$599-_motor!$B$669)&lt;=_motor!$B$677+0.000000001),"Reguladora",IF(AND(_motor!$E$599&gt;=_motor!$B$669,_motor!$F$599&lt;0.5*_motor!$B$669),"Determinante / entorno",IF(AND(_motor!$E$599&gt;=_motor!$B$669,_motor!$F$599&lt;_motor!$B$669),"Palanca secundaria",IF(AND(_motor!$E$599&gt;=_motor!$B$669,_motor!$F$599&gt;=_motor!$B$669),"Clave / de enlace",IF(AND(_motor!$F$599&gt;=_motor!$B$669,_motor!$E$599&gt;=0.5*_motor!$B$669),"Objetivo",IF(_motor!$F$599&gt;=_motor!$B$669,"Resultado","Autónoma")))))))</f>
        <v/>
      </c>
      <c r="K19" s="2" t="str">
        <f>IF(_motor!$B$599=0,"",_motor!$M$599-_motor!$O$599)</f>
        <v/>
      </c>
      <c r="L19" s="2" t="str">
        <f>IF(_motor!$B$599=0,"",IF(_motor!$O$599&lt;_motor!$M$599-2,"▲ VARIABLE OCULTA (sube "&amp;TEXT(_motor!$M$599-_motor!$O$599,"0")&amp;" puestos)",IF(_motor!$O$599&gt;_motor!$M$599+2,"▼ Sobrevalorada en directo (baja "&amp;TEXT(_motor!$O$599-_motor!$M$599,"0")&amp;")","= Estable")))</f>
        <v/>
      </c>
    </row>
    <row r="20" spans="1:12" x14ac:dyDescent="0.2">
      <c r="A20" s="6" t="str">
        <f>IF(_motor!$B$600=0,"",'02 · Variables'!$B$21)</f>
        <v/>
      </c>
      <c r="B20" s="2" t="str">
        <f>IF(_motor!$B$600=0,"",'02 · Variables'!$C$21)</f>
        <v/>
      </c>
      <c r="C20" s="9" t="str">
        <f>IF(_motor!$B$600=0,"",_motor!$E$600)</f>
        <v/>
      </c>
      <c r="D20" s="9" t="str">
        <f>IF(_motor!$B$600=0,"",_motor!$F$600)</f>
        <v/>
      </c>
      <c r="E20" s="8" t="str">
        <f>IF(OR(_motor!$B$600=0,_motor!$B$673=0),"",_motor!$E$600/_motor!$B$673)</f>
        <v/>
      </c>
      <c r="F20" s="8" t="str">
        <f>IF(OR(_motor!$B$600=0,_motor!$B$673=0),"",_motor!$F$600/_motor!$B$673)</f>
        <v/>
      </c>
      <c r="G20" s="7" t="str">
        <f>IF(_motor!$B$600=0,"",SUMPRODUCT(_motor!$B$586:$B$665*(_motor!$E$586:$E$665&gt;_motor!$E$600))+(SUMPRODUCT(_motor!$B$586:$B$665*(_motor!$E$586:$E$665=_motor!$E$600))+1)/2)</f>
        <v/>
      </c>
      <c r="H20" s="7" t="str">
        <f>IF(_motor!$B$600=0,"",SUMPRODUCT(_motor!$B$586:$B$665*(_motor!$F$586:$F$665&gt;_motor!$F$600))+(SUMPRODUCT(_motor!$B$586:$B$665*(_motor!$F$586:$F$665=_motor!$F$600))+1)/2)</f>
        <v/>
      </c>
      <c r="I20" s="2" t="str">
        <f>IF(_motor!$B$600=0,"",IF(AND(ABS(_motor!$E$600-_motor!$B$669)&lt;=_motor!$B$677+0.000000001,ABS(_motor!$F$600-_motor!$B$669)&lt;=_motor!$B$677+0.000000001),"5 · Pelotón (no concluyente)",IF(AND(_motor!$E$600&gt;=_motor!$B$669,_motor!$F$600&lt;_motor!$B$669),"1 · Entrada / determinante",IF(AND(_motor!$E$600&gt;=_motor!$B$669,_motor!$F$600&gt;=_motor!$B$669),"2 · Intermedia / de enlace",IF(AND(_motor!$E$600&lt;_motor!$B$669,_motor!$F$600&gt;=_motor!$B$669),"3 · Resultado","4 · Excluida / autónoma")))))</f>
        <v/>
      </c>
      <c r="J20" s="2" t="str">
        <f>IF(_motor!$B$600=0,"",IF(AND(ABS(_motor!$E$600-_motor!$B$669)&lt;=_motor!$B$677+0.000000001,ABS(_motor!$F$600-_motor!$B$669)&lt;=_motor!$B$677+0.000000001),"Reguladora",IF(AND(_motor!$E$600&gt;=_motor!$B$669,_motor!$F$600&lt;0.5*_motor!$B$669),"Determinante / entorno",IF(AND(_motor!$E$600&gt;=_motor!$B$669,_motor!$F$600&lt;_motor!$B$669),"Palanca secundaria",IF(AND(_motor!$E$600&gt;=_motor!$B$669,_motor!$F$600&gt;=_motor!$B$669),"Clave / de enlace",IF(AND(_motor!$F$600&gt;=_motor!$B$669,_motor!$E$600&gt;=0.5*_motor!$B$669),"Objetivo",IF(_motor!$F$600&gt;=_motor!$B$669,"Resultado","Autónoma")))))))</f>
        <v/>
      </c>
      <c r="K20" s="2" t="str">
        <f>IF(_motor!$B$600=0,"",_motor!$M$600-_motor!$O$600)</f>
        <v/>
      </c>
      <c r="L20" s="2" t="str">
        <f>IF(_motor!$B$600=0,"",IF(_motor!$O$600&lt;_motor!$M$600-2,"▲ VARIABLE OCULTA (sube "&amp;TEXT(_motor!$M$600-_motor!$O$600,"0")&amp;" puestos)",IF(_motor!$O$600&gt;_motor!$M$600+2,"▼ Sobrevalorada en directo (baja "&amp;TEXT(_motor!$O$600-_motor!$M$600,"0")&amp;")","= Estable")))</f>
        <v/>
      </c>
    </row>
    <row r="21" spans="1:12" x14ac:dyDescent="0.2">
      <c r="A21" s="6" t="str">
        <f>IF(_motor!$B$601=0,"",'02 · Variables'!$B$22)</f>
        <v/>
      </c>
      <c r="B21" s="2" t="str">
        <f>IF(_motor!$B$601=0,"",'02 · Variables'!$C$22)</f>
        <v/>
      </c>
      <c r="C21" s="9" t="str">
        <f>IF(_motor!$B$601=0,"",_motor!$E$601)</f>
        <v/>
      </c>
      <c r="D21" s="9" t="str">
        <f>IF(_motor!$B$601=0,"",_motor!$F$601)</f>
        <v/>
      </c>
      <c r="E21" s="8" t="str">
        <f>IF(OR(_motor!$B$601=0,_motor!$B$673=0),"",_motor!$E$601/_motor!$B$673)</f>
        <v/>
      </c>
      <c r="F21" s="8" t="str">
        <f>IF(OR(_motor!$B$601=0,_motor!$B$673=0),"",_motor!$F$601/_motor!$B$673)</f>
        <v/>
      </c>
      <c r="G21" s="7" t="str">
        <f>IF(_motor!$B$601=0,"",SUMPRODUCT(_motor!$B$586:$B$665*(_motor!$E$586:$E$665&gt;_motor!$E$601))+(SUMPRODUCT(_motor!$B$586:$B$665*(_motor!$E$586:$E$665=_motor!$E$601))+1)/2)</f>
        <v/>
      </c>
      <c r="H21" s="7" t="str">
        <f>IF(_motor!$B$601=0,"",SUMPRODUCT(_motor!$B$586:$B$665*(_motor!$F$586:$F$665&gt;_motor!$F$601))+(SUMPRODUCT(_motor!$B$586:$B$665*(_motor!$F$586:$F$665=_motor!$F$601))+1)/2)</f>
        <v/>
      </c>
      <c r="I21" s="2" t="str">
        <f>IF(_motor!$B$601=0,"",IF(AND(ABS(_motor!$E$601-_motor!$B$669)&lt;=_motor!$B$677+0.000000001,ABS(_motor!$F$601-_motor!$B$669)&lt;=_motor!$B$677+0.000000001),"5 · Pelotón (no concluyente)",IF(AND(_motor!$E$601&gt;=_motor!$B$669,_motor!$F$601&lt;_motor!$B$669),"1 · Entrada / determinante",IF(AND(_motor!$E$601&gt;=_motor!$B$669,_motor!$F$601&gt;=_motor!$B$669),"2 · Intermedia / de enlace",IF(AND(_motor!$E$601&lt;_motor!$B$669,_motor!$F$601&gt;=_motor!$B$669),"3 · Resultado","4 · Excluida / autónoma")))))</f>
        <v/>
      </c>
      <c r="J21" s="2" t="str">
        <f>IF(_motor!$B$601=0,"",IF(AND(ABS(_motor!$E$601-_motor!$B$669)&lt;=_motor!$B$677+0.000000001,ABS(_motor!$F$601-_motor!$B$669)&lt;=_motor!$B$677+0.000000001),"Reguladora",IF(AND(_motor!$E$601&gt;=_motor!$B$669,_motor!$F$601&lt;0.5*_motor!$B$669),"Determinante / entorno",IF(AND(_motor!$E$601&gt;=_motor!$B$669,_motor!$F$601&lt;_motor!$B$669),"Palanca secundaria",IF(AND(_motor!$E$601&gt;=_motor!$B$669,_motor!$F$601&gt;=_motor!$B$669),"Clave / de enlace",IF(AND(_motor!$F$601&gt;=_motor!$B$669,_motor!$E$601&gt;=0.5*_motor!$B$669),"Objetivo",IF(_motor!$F$601&gt;=_motor!$B$669,"Resultado","Autónoma")))))))</f>
        <v/>
      </c>
      <c r="K21" s="2" t="str">
        <f>IF(_motor!$B$601=0,"",_motor!$M$601-_motor!$O$601)</f>
        <v/>
      </c>
      <c r="L21" s="2" t="str">
        <f>IF(_motor!$B$601=0,"",IF(_motor!$O$601&lt;_motor!$M$601-2,"▲ VARIABLE OCULTA (sube "&amp;TEXT(_motor!$M$601-_motor!$O$601,"0")&amp;" puestos)",IF(_motor!$O$601&gt;_motor!$M$601+2,"▼ Sobrevalorada en directo (baja "&amp;TEXT(_motor!$O$601-_motor!$M$601,"0")&amp;")","= Estable")))</f>
        <v/>
      </c>
    </row>
    <row r="22" spans="1:12" x14ac:dyDescent="0.2">
      <c r="A22" s="6" t="str">
        <f>IF(_motor!$B$602=0,"",'02 · Variables'!$B$23)</f>
        <v/>
      </c>
      <c r="B22" s="2" t="str">
        <f>IF(_motor!$B$602=0,"",'02 · Variables'!$C$23)</f>
        <v/>
      </c>
      <c r="C22" s="9" t="str">
        <f>IF(_motor!$B$602=0,"",_motor!$E$602)</f>
        <v/>
      </c>
      <c r="D22" s="9" t="str">
        <f>IF(_motor!$B$602=0,"",_motor!$F$602)</f>
        <v/>
      </c>
      <c r="E22" s="8" t="str">
        <f>IF(OR(_motor!$B$602=0,_motor!$B$673=0),"",_motor!$E$602/_motor!$B$673)</f>
        <v/>
      </c>
      <c r="F22" s="8" t="str">
        <f>IF(OR(_motor!$B$602=0,_motor!$B$673=0),"",_motor!$F$602/_motor!$B$673)</f>
        <v/>
      </c>
      <c r="G22" s="7" t="str">
        <f>IF(_motor!$B$602=0,"",SUMPRODUCT(_motor!$B$586:$B$665*(_motor!$E$586:$E$665&gt;_motor!$E$602))+(SUMPRODUCT(_motor!$B$586:$B$665*(_motor!$E$586:$E$665=_motor!$E$602))+1)/2)</f>
        <v/>
      </c>
      <c r="H22" s="7" t="str">
        <f>IF(_motor!$B$602=0,"",SUMPRODUCT(_motor!$B$586:$B$665*(_motor!$F$586:$F$665&gt;_motor!$F$602))+(SUMPRODUCT(_motor!$B$586:$B$665*(_motor!$F$586:$F$665=_motor!$F$602))+1)/2)</f>
        <v/>
      </c>
      <c r="I22" s="2" t="str">
        <f>IF(_motor!$B$602=0,"",IF(AND(ABS(_motor!$E$602-_motor!$B$669)&lt;=_motor!$B$677+0.000000001,ABS(_motor!$F$602-_motor!$B$669)&lt;=_motor!$B$677+0.000000001),"5 · Pelotón (no concluyente)",IF(AND(_motor!$E$602&gt;=_motor!$B$669,_motor!$F$602&lt;_motor!$B$669),"1 · Entrada / determinante",IF(AND(_motor!$E$602&gt;=_motor!$B$669,_motor!$F$602&gt;=_motor!$B$669),"2 · Intermedia / de enlace",IF(AND(_motor!$E$602&lt;_motor!$B$669,_motor!$F$602&gt;=_motor!$B$669),"3 · Resultado","4 · Excluida / autónoma")))))</f>
        <v/>
      </c>
      <c r="J22" s="2" t="str">
        <f>IF(_motor!$B$602=0,"",IF(AND(ABS(_motor!$E$602-_motor!$B$669)&lt;=_motor!$B$677+0.000000001,ABS(_motor!$F$602-_motor!$B$669)&lt;=_motor!$B$677+0.000000001),"Reguladora",IF(AND(_motor!$E$602&gt;=_motor!$B$669,_motor!$F$602&lt;0.5*_motor!$B$669),"Determinante / entorno",IF(AND(_motor!$E$602&gt;=_motor!$B$669,_motor!$F$602&lt;_motor!$B$669),"Palanca secundaria",IF(AND(_motor!$E$602&gt;=_motor!$B$669,_motor!$F$602&gt;=_motor!$B$669),"Clave / de enlace",IF(AND(_motor!$F$602&gt;=_motor!$B$669,_motor!$E$602&gt;=0.5*_motor!$B$669),"Objetivo",IF(_motor!$F$602&gt;=_motor!$B$669,"Resultado","Autónoma")))))))</f>
        <v/>
      </c>
      <c r="K22" s="2" t="str">
        <f>IF(_motor!$B$602=0,"",_motor!$M$602-_motor!$O$602)</f>
        <v/>
      </c>
      <c r="L22" s="2" t="str">
        <f>IF(_motor!$B$602=0,"",IF(_motor!$O$602&lt;_motor!$M$602-2,"▲ VARIABLE OCULTA (sube "&amp;TEXT(_motor!$M$602-_motor!$O$602,"0")&amp;" puestos)",IF(_motor!$O$602&gt;_motor!$M$602+2,"▼ Sobrevalorada en directo (baja "&amp;TEXT(_motor!$O$602-_motor!$M$602,"0")&amp;")","= Estable")))</f>
        <v/>
      </c>
    </row>
    <row r="23" spans="1:12" x14ac:dyDescent="0.2">
      <c r="A23" s="6" t="str">
        <f>IF(_motor!$B$603=0,"",'02 · Variables'!$B$24)</f>
        <v/>
      </c>
      <c r="B23" s="2" t="str">
        <f>IF(_motor!$B$603=0,"",'02 · Variables'!$C$24)</f>
        <v/>
      </c>
      <c r="C23" s="9" t="str">
        <f>IF(_motor!$B$603=0,"",_motor!$E$603)</f>
        <v/>
      </c>
      <c r="D23" s="9" t="str">
        <f>IF(_motor!$B$603=0,"",_motor!$F$603)</f>
        <v/>
      </c>
      <c r="E23" s="8" t="str">
        <f>IF(OR(_motor!$B$603=0,_motor!$B$673=0),"",_motor!$E$603/_motor!$B$673)</f>
        <v/>
      </c>
      <c r="F23" s="8" t="str">
        <f>IF(OR(_motor!$B$603=0,_motor!$B$673=0),"",_motor!$F$603/_motor!$B$673)</f>
        <v/>
      </c>
      <c r="G23" s="7" t="str">
        <f>IF(_motor!$B$603=0,"",SUMPRODUCT(_motor!$B$586:$B$665*(_motor!$E$586:$E$665&gt;_motor!$E$603))+(SUMPRODUCT(_motor!$B$586:$B$665*(_motor!$E$586:$E$665=_motor!$E$603))+1)/2)</f>
        <v/>
      </c>
      <c r="H23" s="7" t="str">
        <f>IF(_motor!$B$603=0,"",SUMPRODUCT(_motor!$B$586:$B$665*(_motor!$F$586:$F$665&gt;_motor!$F$603))+(SUMPRODUCT(_motor!$B$586:$B$665*(_motor!$F$586:$F$665=_motor!$F$603))+1)/2)</f>
        <v/>
      </c>
      <c r="I23" s="2" t="str">
        <f>IF(_motor!$B$603=0,"",IF(AND(ABS(_motor!$E$603-_motor!$B$669)&lt;=_motor!$B$677+0.000000001,ABS(_motor!$F$603-_motor!$B$669)&lt;=_motor!$B$677+0.000000001),"5 · Pelotón (no concluyente)",IF(AND(_motor!$E$603&gt;=_motor!$B$669,_motor!$F$603&lt;_motor!$B$669),"1 · Entrada / determinante",IF(AND(_motor!$E$603&gt;=_motor!$B$669,_motor!$F$603&gt;=_motor!$B$669),"2 · Intermedia / de enlace",IF(AND(_motor!$E$603&lt;_motor!$B$669,_motor!$F$603&gt;=_motor!$B$669),"3 · Resultado","4 · Excluida / autónoma")))))</f>
        <v/>
      </c>
      <c r="J23" s="2" t="str">
        <f>IF(_motor!$B$603=0,"",IF(AND(ABS(_motor!$E$603-_motor!$B$669)&lt;=_motor!$B$677+0.000000001,ABS(_motor!$F$603-_motor!$B$669)&lt;=_motor!$B$677+0.000000001),"Reguladora",IF(AND(_motor!$E$603&gt;=_motor!$B$669,_motor!$F$603&lt;0.5*_motor!$B$669),"Determinante / entorno",IF(AND(_motor!$E$603&gt;=_motor!$B$669,_motor!$F$603&lt;_motor!$B$669),"Palanca secundaria",IF(AND(_motor!$E$603&gt;=_motor!$B$669,_motor!$F$603&gt;=_motor!$B$669),"Clave / de enlace",IF(AND(_motor!$F$603&gt;=_motor!$B$669,_motor!$E$603&gt;=0.5*_motor!$B$669),"Objetivo",IF(_motor!$F$603&gt;=_motor!$B$669,"Resultado","Autónoma")))))))</f>
        <v/>
      </c>
      <c r="K23" s="2" t="str">
        <f>IF(_motor!$B$603=0,"",_motor!$M$603-_motor!$O$603)</f>
        <v/>
      </c>
      <c r="L23" s="2" t="str">
        <f>IF(_motor!$B$603=0,"",IF(_motor!$O$603&lt;_motor!$M$603-2,"▲ VARIABLE OCULTA (sube "&amp;TEXT(_motor!$M$603-_motor!$O$603,"0")&amp;" puestos)",IF(_motor!$O$603&gt;_motor!$M$603+2,"▼ Sobrevalorada en directo (baja "&amp;TEXT(_motor!$O$603-_motor!$M$603,"0")&amp;")","= Estable")))</f>
        <v/>
      </c>
    </row>
    <row r="24" spans="1:12" x14ac:dyDescent="0.2">
      <c r="A24" s="6" t="str">
        <f>IF(_motor!$B$604=0,"",'02 · Variables'!$B$25)</f>
        <v/>
      </c>
      <c r="B24" s="2" t="str">
        <f>IF(_motor!$B$604=0,"",'02 · Variables'!$C$25)</f>
        <v/>
      </c>
      <c r="C24" s="9" t="str">
        <f>IF(_motor!$B$604=0,"",_motor!$E$604)</f>
        <v/>
      </c>
      <c r="D24" s="9" t="str">
        <f>IF(_motor!$B$604=0,"",_motor!$F$604)</f>
        <v/>
      </c>
      <c r="E24" s="8" t="str">
        <f>IF(OR(_motor!$B$604=0,_motor!$B$673=0),"",_motor!$E$604/_motor!$B$673)</f>
        <v/>
      </c>
      <c r="F24" s="8" t="str">
        <f>IF(OR(_motor!$B$604=0,_motor!$B$673=0),"",_motor!$F$604/_motor!$B$673)</f>
        <v/>
      </c>
      <c r="G24" s="7" t="str">
        <f>IF(_motor!$B$604=0,"",SUMPRODUCT(_motor!$B$586:$B$665*(_motor!$E$586:$E$665&gt;_motor!$E$604))+(SUMPRODUCT(_motor!$B$586:$B$665*(_motor!$E$586:$E$665=_motor!$E$604))+1)/2)</f>
        <v/>
      </c>
      <c r="H24" s="7" t="str">
        <f>IF(_motor!$B$604=0,"",SUMPRODUCT(_motor!$B$586:$B$665*(_motor!$F$586:$F$665&gt;_motor!$F$604))+(SUMPRODUCT(_motor!$B$586:$B$665*(_motor!$F$586:$F$665=_motor!$F$604))+1)/2)</f>
        <v/>
      </c>
      <c r="I24" s="2" t="str">
        <f>IF(_motor!$B$604=0,"",IF(AND(ABS(_motor!$E$604-_motor!$B$669)&lt;=_motor!$B$677+0.000000001,ABS(_motor!$F$604-_motor!$B$669)&lt;=_motor!$B$677+0.000000001),"5 · Pelotón (no concluyente)",IF(AND(_motor!$E$604&gt;=_motor!$B$669,_motor!$F$604&lt;_motor!$B$669),"1 · Entrada / determinante",IF(AND(_motor!$E$604&gt;=_motor!$B$669,_motor!$F$604&gt;=_motor!$B$669),"2 · Intermedia / de enlace",IF(AND(_motor!$E$604&lt;_motor!$B$669,_motor!$F$604&gt;=_motor!$B$669),"3 · Resultado","4 · Excluida / autónoma")))))</f>
        <v/>
      </c>
      <c r="J24" s="2" t="str">
        <f>IF(_motor!$B$604=0,"",IF(AND(ABS(_motor!$E$604-_motor!$B$669)&lt;=_motor!$B$677+0.000000001,ABS(_motor!$F$604-_motor!$B$669)&lt;=_motor!$B$677+0.000000001),"Reguladora",IF(AND(_motor!$E$604&gt;=_motor!$B$669,_motor!$F$604&lt;0.5*_motor!$B$669),"Determinante / entorno",IF(AND(_motor!$E$604&gt;=_motor!$B$669,_motor!$F$604&lt;_motor!$B$669),"Palanca secundaria",IF(AND(_motor!$E$604&gt;=_motor!$B$669,_motor!$F$604&gt;=_motor!$B$669),"Clave / de enlace",IF(AND(_motor!$F$604&gt;=_motor!$B$669,_motor!$E$604&gt;=0.5*_motor!$B$669),"Objetivo",IF(_motor!$F$604&gt;=_motor!$B$669,"Resultado","Autónoma")))))))</f>
        <v/>
      </c>
      <c r="K24" s="2" t="str">
        <f>IF(_motor!$B$604=0,"",_motor!$M$604-_motor!$O$604)</f>
        <v/>
      </c>
      <c r="L24" s="2" t="str">
        <f>IF(_motor!$B$604=0,"",IF(_motor!$O$604&lt;_motor!$M$604-2,"▲ VARIABLE OCULTA (sube "&amp;TEXT(_motor!$M$604-_motor!$O$604,"0")&amp;" puestos)",IF(_motor!$O$604&gt;_motor!$M$604+2,"▼ Sobrevalorada en directo (baja "&amp;TEXT(_motor!$O$604-_motor!$M$604,"0")&amp;")","= Estable")))</f>
        <v/>
      </c>
    </row>
    <row r="25" spans="1:12" x14ac:dyDescent="0.2">
      <c r="A25" s="6" t="str">
        <f>IF(_motor!$B$605=0,"",'02 · Variables'!$B$26)</f>
        <v/>
      </c>
      <c r="B25" s="2" t="str">
        <f>IF(_motor!$B$605=0,"",'02 · Variables'!$C$26)</f>
        <v/>
      </c>
      <c r="C25" s="9" t="str">
        <f>IF(_motor!$B$605=0,"",_motor!$E$605)</f>
        <v/>
      </c>
      <c r="D25" s="9" t="str">
        <f>IF(_motor!$B$605=0,"",_motor!$F$605)</f>
        <v/>
      </c>
      <c r="E25" s="8" t="str">
        <f>IF(OR(_motor!$B$605=0,_motor!$B$673=0),"",_motor!$E$605/_motor!$B$673)</f>
        <v/>
      </c>
      <c r="F25" s="8" t="str">
        <f>IF(OR(_motor!$B$605=0,_motor!$B$673=0),"",_motor!$F$605/_motor!$B$673)</f>
        <v/>
      </c>
      <c r="G25" s="7" t="str">
        <f>IF(_motor!$B$605=0,"",SUMPRODUCT(_motor!$B$586:$B$665*(_motor!$E$586:$E$665&gt;_motor!$E$605))+(SUMPRODUCT(_motor!$B$586:$B$665*(_motor!$E$586:$E$665=_motor!$E$605))+1)/2)</f>
        <v/>
      </c>
      <c r="H25" s="7" t="str">
        <f>IF(_motor!$B$605=0,"",SUMPRODUCT(_motor!$B$586:$B$665*(_motor!$F$586:$F$665&gt;_motor!$F$605))+(SUMPRODUCT(_motor!$B$586:$B$665*(_motor!$F$586:$F$665=_motor!$F$605))+1)/2)</f>
        <v/>
      </c>
      <c r="I25" s="2" t="str">
        <f>IF(_motor!$B$605=0,"",IF(AND(ABS(_motor!$E$605-_motor!$B$669)&lt;=_motor!$B$677+0.000000001,ABS(_motor!$F$605-_motor!$B$669)&lt;=_motor!$B$677+0.000000001),"5 · Pelotón (no concluyente)",IF(AND(_motor!$E$605&gt;=_motor!$B$669,_motor!$F$605&lt;_motor!$B$669),"1 · Entrada / determinante",IF(AND(_motor!$E$605&gt;=_motor!$B$669,_motor!$F$605&gt;=_motor!$B$669),"2 · Intermedia / de enlace",IF(AND(_motor!$E$605&lt;_motor!$B$669,_motor!$F$605&gt;=_motor!$B$669),"3 · Resultado","4 · Excluida / autónoma")))))</f>
        <v/>
      </c>
      <c r="J25" s="2" t="str">
        <f>IF(_motor!$B$605=0,"",IF(AND(ABS(_motor!$E$605-_motor!$B$669)&lt;=_motor!$B$677+0.000000001,ABS(_motor!$F$605-_motor!$B$669)&lt;=_motor!$B$677+0.000000001),"Reguladora",IF(AND(_motor!$E$605&gt;=_motor!$B$669,_motor!$F$605&lt;0.5*_motor!$B$669),"Determinante / entorno",IF(AND(_motor!$E$605&gt;=_motor!$B$669,_motor!$F$605&lt;_motor!$B$669),"Palanca secundaria",IF(AND(_motor!$E$605&gt;=_motor!$B$669,_motor!$F$605&gt;=_motor!$B$669),"Clave / de enlace",IF(AND(_motor!$F$605&gt;=_motor!$B$669,_motor!$E$605&gt;=0.5*_motor!$B$669),"Objetivo",IF(_motor!$F$605&gt;=_motor!$B$669,"Resultado","Autónoma")))))))</f>
        <v/>
      </c>
      <c r="K25" s="2" t="str">
        <f>IF(_motor!$B$605=0,"",_motor!$M$605-_motor!$O$605)</f>
        <v/>
      </c>
      <c r="L25" s="2" t="str">
        <f>IF(_motor!$B$605=0,"",IF(_motor!$O$605&lt;_motor!$M$605-2,"▲ VARIABLE OCULTA (sube "&amp;TEXT(_motor!$M$605-_motor!$O$605,"0")&amp;" puestos)",IF(_motor!$O$605&gt;_motor!$M$605+2,"▼ Sobrevalorada en directo (baja "&amp;TEXT(_motor!$O$605-_motor!$M$605,"0")&amp;")","= Estable")))</f>
        <v/>
      </c>
    </row>
    <row r="26" spans="1:12" x14ac:dyDescent="0.2">
      <c r="A26" s="6" t="str">
        <f>IF(_motor!$B$606=0,"",'02 · Variables'!$B$27)</f>
        <v/>
      </c>
      <c r="B26" s="2" t="str">
        <f>IF(_motor!$B$606=0,"",'02 · Variables'!$C$27)</f>
        <v/>
      </c>
      <c r="C26" s="9" t="str">
        <f>IF(_motor!$B$606=0,"",_motor!$E$606)</f>
        <v/>
      </c>
      <c r="D26" s="9" t="str">
        <f>IF(_motor!$B$606=0,"",_motor!$F$606)</f>
        <v/>
      </c>
      <c r="E26" s="8" t="str">
        <f>IF(OR(_motor!$B$606=0,_motor!$B$673=0),"",_motor!$E$606/_motor!$B$673)</f>
        <v/>
      </c>
      <c r="F26" s="8" t="str">
        <f>IF(OR(_motor!$B$606=0,_motor!$B$673=0),"",_motor!$F$606/_motor!$B$673)</f>
        <v/>
      </c>
      <c r="G26" s="7" t="str">
        <f>IF(_motor!$B$606=0,"",SUMPRODUCT(_motor!$B$586:$B$665*(_motor!$E$586:$E$665&gt;_motor!$E$606))+(SUMPRODUCT(_motor!$B$586:$B$665*(_motor!$E$586:$E$665=_motor!$E$606))+1)/2)</f>
        <v/>
      </c>
      <c r="H26" s="7" t="str">
        <f>IF(_motor!$B$606=0,"",SUMPRODUCT(_motor!$B$586:$B$665*(_motor!$F$586:$F$665&gt;_motor!$F$606))+(SUMPRODUCT(_motor!$B$586:$B$665*(_motor!$F$586:$F$665=_motor!$F$606))+1)/2)</f>
        <v/>
      </c>
      <c r="I26" s="2" t="str">
        <f>IF(_motor!$B$606=0,"",IF(AND(ABS(_motor!$E$606-_motor!$B$669)&lt;=_motor!$B$677+0.000000001,ABS(_motor!$F$606-_motor!$B$669)&lt;=_motor!$B$677+0.000000001),"5 · Pelotón (no concluyente)",IF(AND(_motor!$E$606&gt;=_motor!$B$669,_motor!$F$606&lt;_motor!$B$669),"1 · Entrada / determinante",IF(AND(_motor!$E$606&gt;=_motor!$B$669,_motor!$F$606&gt;=_motor!$B$669),"2 · Intermedia / de enlace",IF(AND(_motor!$E$606&lt;_motor!$B$669,_motor!$F$606&gt;=_motor!$B$669),"3 · Resultado","4 · Excluida / autónoma")))))</f>
        <v/>
      </c>
      <c r="J26" s="2" t="str">
        <f>IF(_motor!$B$606=0,"",IF(AND(ABS(_motor!$E$606-_motor!$B$669)&lt;=_motor!$B$677+0.000000001,ABS(_motor!$F$606-_motor!$B$669)&lt;=_motor!$B$677+0.000000001),"Reguladora",IF(AND(_motor!$E$606&gt;=_motor!$B$669,_motor!$F$606&lt;0.5*_motor!$B$669),"Determinante / entorno",IF(AND(_motor!$E$606&gt;=_motor!$B$669,_motor!$F$606&lt;_motor!$B$669),"Palanca secundaria",IF(AND(_motor!$E$606&gt;=_motor!$B$669,_motor!$F$606&gt;=_motor!$B$669),"Clave / de enlace",IF(AND(_motor!$F$606&gt;=_motor!$B$669,_motor!$E$606&gt;=0.5*_motor!$B$669),"Objetivo",IF(_motor!$F$606&gt;=_motor!$B$669,"Resultado","Autónoma")))))))</f>
        <v/>
      </c>
      <c r="K26" s="2" t="str">
        <f>IF(_motor!$B$606=0,"",_motor!$M$606-_motor!$O$606)</f>
        <v/>
      </c>
      <c r="L26" s="2" t="str">
        <f>IF(_motor!$B$606=0,"",IF(_motor!$O$606&lt;_motor!$M$606-2,"▲ VARIABLE OCULTA (sube "&amp;TEXT(_motor!$M$606-_motor!$O$606,"0")&amp;" puestos)",IF(_motor!$O$606&gt;_motor!$M$606+2,"▼ Sobrevalorada en directo (baja "&amp;TEXT(_motor!$O$606-_motor!$M$606,"0")&amp;")","= Estable")))</f>
        <v/>
      </c>
    </row>
    <row r="27" spans="1:12" x14ac:dyDescent="0.2">
      <c r="A27" s="6" t="str">
        <f>IF(_motor!$B$607=0,"",'02 · Variables'!$B$28)</f>
        <v/>
      </c>
      <c r="B27" s="2" t="str">
        <f>IF(_motor!$B$607=0,"",'02 · Variables'!$C$28)</f>
        <v/>
      </c>
      <c r="C27" s="9" t="str">
        <f>IF(_motor!$B$607=0,"",_motor!$E$607)</f>
        <v/>
      </c>
      <c r="D27" s="9" t="str">
        <f>IF(_motor!$B$607=0,"",_motor!$F$607)</f>
        <v/>
      </c>
      <c r="E27" s="8" t="str">
        <f>IF(OR(_motor!$B$607=0,_motor!$B$673=0),"",_motor!$E$607/_motor!$B$673)</f>
        <v/>
      </c>
      <c r="F27" s="8" t="str">
        <f>IF(OR(_motor!$B$607=0,_motor!$B$673=0),"",_motor!$F$607/_motor!$B$673)</f>
        <v/>
      </c>
      <c r="G27" s="7" t="str">
        <f>IF(_motor!$B$607=0,"",SUMPRODUCT(_motor!$B$586:$B$665*(_motor!$E$586:$E$665&gt;_motor!$E$607))+(SUMPRODUCT(_motor!$B$586:$B$665*(_motor!$E$586:$E$665=_motor!$E$607))+1)/2)</f>
        <v/>
      </c>
      <c r="H27" s="7" t="str">
        <f>IF(_motor!$B$607=0,"",SUMPRODUCT(_motor!$B$586:$B$665*(_motor!$F$586:$F$665&gt;_motor!$F$607))+(SUMPRODUCT(_motor!$B$586:$B$665*(_motor!$F$586:$F$665=_motor!$F$607))+1)/2)</f>
        <v/>
      </c>
      <c r="I27" s="2" t="str">
        <f>IF(_motor!$B$607=0,"",IF(AND(ABS(_motor!$E$607-_motor!$B$669)&lt;=_motor!$B$677+0.000000001,ABS(_motor!$F$607-_motor!$B$669)&lt;=_motor!$B$677+0.000000001),"5 · Pelotón (no concluyente)",IF(AND(_motor!$E$607&gt;=_motor!$B$669,_motor!$F$607&lt;_motor!$B$669),"1 · Entrada / determinante",IF(AND(_motor!$E$607&gt;=_motor!$B$669,_motor!$F$607&gt;=_motor!$B$669),"2 · Intermedia / de enlace",IF(AND(_motor!$E$607&lt;_motor!$B$669,_motor!$F$607&gt;=_motor!$B$669),"3 · Resultado","4 · Excluida / autónoma")))))</f>
        <v/>
      </c>
      <c r="J27" s="2" t="str">
        <f>IF(_motor!$B$607=0,"",IF(AND(ABS(_motor!$E$607-_motor!$B$669)&lt;=_motor!$B$677+0.000000001,ABS(_motor!$F$607-_motor!$B$669)&lt;=_motor!$B$677+0.000000001),"Reguladora",IF(AND(_motor!$E$607&gt;=_motor!$B$669,_motor!$F$607&lt;0.5*_motor!$B$669),"Determinante / entorno",IF(AND(_motor!$E$607&gt;=_motor!$B$669,_motor!$F$607&lt;_motor!$B$669),"Palanca secundaria",IF(AND(_motor!$E$607&gt;=_motor!$B$669,_motor!$F$607&gt;=_motor!$B$669),"Clave / de enlace",IF(AND(_motor!$F$607&gt;=_motor!$B$669,_motor!$E$607&gt;=0.5*_motor!$B$669),"Objetivo",IF(_motor!$F$607&gt;=_motor!$B$669,"Resultado","Autónoma")))))))</f>
        <v/>
      </c>
      <c r="K27" s="2" t="str">
        <f>IF(_motor!$B$607=0,"",_motor!$M$607-_motor!$O$607)</f>
        <v/>
      </c>
      <c r="L27" s="2" t="str">
        <f>IF(_motor!$B$607=0,"",IF(_motor!$O$607&lt;_motor!$M$607-2,"▲ VARIABLE OCULTA (sube "&amp;TEXT(_motor!$M$607-_motor!$O$607,"0")&amp;" puestos)",IF(_motor!$O$607&gt;_motor!$M$607+2,"▼ Sobrevalorada en directo (baja "&amp;TEXT(_motor!$O$607-_motor!$M$607,"0")&amp;")","= Estable")))</f>
        <v/>
      </c>
    </row>
    <row r="28" spans="1:12" x14ac:dyDescent="0.2">
      <c r="A28" s="6" t="str">
        <f>IF(_motor!$B$608=0,"",'02 · Variables'!$B$29)</f>
        <v/>
      </c>
      <c r="B28" s="2" t="str">
        <f>IF(_motor!$B$608=0,"",'02 · Variables'!$C$29)</f>
        <v/>
      </c>
      <c r="C28" s="9" t="str">
        <f>IF(_motor!$B$608=0,"",_motor!$E$608)</f>
        <v/>
      </c>
      <c r="D28" s="9" t="str">
        <f>IF(_motor!$B$608=0,"",_motor!$F$608)</f>
        <v/>
      </c>
      <c r="E28" s="8" t="str">
        <f>IF(OR(_motor!$B$608=0,_motor!$B$673=0),"",_motor!$E$608/_motor!$B$673)</f>
        <v/>
      </c>
      <c r="F28" s="8" t="str">
        <f>IF(OR(_motor!$B$608=0,_motor!$B$673=0),"",_motor!$F$608/_motor!$B$673)</f>
        <v/>
      </c>
      <c r="G28" s="7" t="str">
        <f>IF(_motor!$B$608=0,"",SUMPRODUCT(_motor!$B$586:$B$665*(_motor!$E$586:$E$665&gt;_motor!$E$608))+(SUMPRODUCT(_motor!$B$586:$B$665*(_motor!$E$586:$E$665=_motor!$E$608))+1)/2)</f>
        <v/>
      </c>
      <c r="H28" s="7" t="str">
        <f>IF(_motor!$B$608=0,"",SUMPRODUCT(_motor!$B$586:$B$665*(_motor!$F$586:$F$665&gt;_motor!$F$608))+(SUMPRODUCT(_motor!$B$586:$B$665*(_motor!$F$586:$F$665=_motor!$F$608))+1)/2)</f>
        <v/>
      </c>
      <c r="I28" s="2" t="str">
        <f>IF(_motor!$B$608=0,"",IF(AND(ABS(_motor!$E$608-_motor!$B$669)&lt;=_motor!$B$677+0.000000001,ABS(_motor!$F$608-_motor!$B$669)&lt;=_motor!$B$677+0.000000001),"5 · Pelotón (no concluyente)",IF(AND(_motor!$E$608&gt;=_motor!$B$669,_motor!$F$608&lt;_motor!$B$669),"1 · Entrada / determinante",IF(AND(_motor!$E$608&gt;=_motor!$B$669,_motor!$F$608&gt;=_motor!$B$669),"2 · Intermedia / de enlace",IF(AND(_motor!$E$608&lt;_motor!$B$669,_motor!$F$608&gt;=_motor!$B$669),"3 · Resultado","4 · Excluida / autónoma")))))</f>
        <v/>
      </c>
      <c r="J28" s="2" t="str">
        <f>IF(_motor!$B$608=0,"",IF(AND(ABS(_motor!$E$608-_motor!$B$669)&lt;=_motor!$B$677+0.000000001,ABS(_motor!$F$608-_motor!$B$669)&lt;=_motor!$B$677+0.000000001),"Reguladora",IF(AND(_motor!$E$608&gt;=_motor!$B$669,_motor!$F$608&lt;0.5*_motor!$B$669),"Determinante / entorno",IF(AND(_motor!$E$608&gt;=_motor!$B$669,_motor!$F$608&lt;_motor!$B$669),"Palanca secundaria",IF(AND(_motor!$E$608&gt;=_motor!$B$669,_motor!$F$608&gt;=_motor!$B$669),"Clave / de enlace",IF(AND(_motor!$F$608&gt;=_motor!$B$669,_motor!$E$608&gt;=0.5*_motor!$B$669),"Objetivo",IF(_motor!$F$608&gt;=_motor!$B$669,"Resultado","Autónoma")))))))</f>
        <v/>
      </c>
      <c r="K28" s="2" t="str">
        <f>IF(_motor!$B$608=0,"",_motor!$M$608-_motor!$O$608)</f>
        <v/>
      </c>
      <c r="L28" s="2" t="str">
        <f>IF(_motor!$B$608=0,"",IF(_motor!$O$608&lt;_motor!$M$608-2,"▲ VARIABLE OCULTA (sube "&amp;TEXT(_motor!$M$608-_motor!$O$608,"0")&amp;" puestos)",IF(_motor!$O$608&gt;_motor!$M$608+2,"▼ Sobrevalorada en directo (baja "&amp;TEXT(_motor!$O$608-_motor!$M$608,"0")&amp;")","= Estable")))</f>
        <v/>
      </c>
    </row>
    <row r="29" spans="1:12" x14ac:dyDescent="0.2">
      <c r="A29" s="6" t="str">
        <f>IF(_motor!$B$609=0,"",'02 · Variables'!$B$30)</f>
        <v/>
      </c>
      <c r="B29" s="2" t="str">
        <f>IF(_motor!$B$609=0,"",'02 · Variables'!$C$30)</f>
        <v/>
      </c>
      <c r="C29" s="9" t="str">
        <f>IF(_motor!$B$609=0,"",_motor!$E$609)</f>
        <v/>
      </c>
      <c r="D29" s="9" t="str">
        <f>IF(_motor!$B$609=0,"",_motor!$F$609)</f>
        <v/>
      </c>
      <c r="E29" s="8" t="str">
        <f>IF(OR(_motor!$B$609=0,_motor!$B$673=0),"",_motor!$E$609/_motor!$B$673)</f>
        <v/>
      </c>
      <c r="F29" s="8" t="str">
        <f>IF(OR(_motor!$B$609=0,_motor!$B$673=0),"",_motor!$F$609/_motor!$B$673)</f>
        <v/>
      </c>
      <c r="G29" s="7" t="str">
        <f>IF(_motor!$B$609=0,"",SUMPRODUCT(_motor!$B$586:$B$665*(_motor!$E$586:$E$665&gt;_motor!$E$609))+(SUMPRODUCT(_motor!$B$586:$B$665*(_motor!$E$586:$E$665=_motor!$E$609))+1)/2)</f>
        <v/>
      </c>
      <c r="H29" s="7" t="str">
        <f>IF(_motor!$B$609=0,"",SUMPRODUCT(_motor!$B$586:$B$665*(_motor!$F$586:$F$665&gt;_motor!$F$609))+(SUMPRODUCT(_motor!$B$586:$B$665*(_motor!$F$586:$F$665=_motor!$F$609))+1)/2)</f>
        <v/>
      </c>
      <c r="I29" s="2" t="str">
        <f>IF(_motor!$B$609=0,"",IF(AND(ABS(_motor!$E$609-_motor!$B$669)&lt;=_motor!$B$677+0.000000001,ABS(_motor!$F$609-_motor!$B$669)&lt;=_motor!$B$677+0.000000001),"5 · Pelotón (no concluyente)",IF(AND(_motor!$E$609&gt;=_motor!$B$669,_motor!$F$609&lt;_motor!$B$669),"1 · Entrada / determinante",IF(AND(_motor!$E$609&gt;=_motor!$B$669,_motor!$F$609&gt;=_motor!$B$669),"2 · Intermedia / de enlace",IF(AND(_motor!$E$609&lt;_motor!$B$669,_motor!$F$609&gt;=_motor!$B$669),"3 · Resultado","4 · Excluida / autónoma")))))</f>
        <v/>
      </c>
      <c r="J29" s="2" t="str">
        <f>IF(_motor!$B$609=0,"",IF(AND(ABS(_motor!$E$609-_motor!$B$669)&lt;=_motor!$B$677+0.000000001,ABS(_motor!$F$609-_motor!$B$669)&lt;=_motor!$B$677+0.000000001),"Reguladora",IF(AND(_motor!$E$609&gt;=_motor!$B$669,_motor!$F$609&lt;0.5*_motor!$B$669),"Determinante / entorno",IF(AND(_motor!$E$609&gt;=_motor!$B$669,_motor!$F$609&lt;_motor!$B$669),"Palanca secundaria",IF(AND(_motor!$E$609&gt;=_motor!$B$669,_motor!$F$609&gt;=_motor!$B$669),"Clave / de enlace",IF(AND(_motor!$F$609&gt;=_motor!$B$669,_motor!$E$609&gt;=0.5*_motor!$B$669),"Objetivo",IF(_motor!$F$609&gt;=_motor!$B$669,"Resultado","Autónoma")))))))</f>
        <v/>
      </c>
      <c r="K29" s="2" t="str">
        <f>IF(_motor!$B$609=0,"",_motor!$M$609-_motor!$O$609)</f>
        <v/>
      </c>
      <c r="L29" s="2" t="str">
        <f>IF(_motor!$B$609=0,"",IF(_motor!$O$609&lt;_motor!$M$609-2,"▲ VARIABLE OCULTA (sube "&amp;TEXT(_motor!$M$609-_motor!$O$609,"0")&amp;" puestos)",IF(_motor!$O$609&gt;_motor!$M$609+2,"▼ Sobrevalorada en directo (baja "&amp;TEXT(_motor!$O$609-_motor!$M$609,"0")&amp;")","= Estable")))</f>
        <v/>
      </c>
    </row>
    <row r="30" spans="1:12" x14ac:dyDescent="0.2">
      <c r="A30" s="6" t="str">
        <f>IF(_motor!$B$610=0,"",'02 · Variables'!$B$31)</f>
        <v/>
      </c>
      <c r="B30" s="2" t="str">
        <f>IF(_motor!$B$610=0,"",'02 · Variables'!$C$31)</f>
        <v/>
      </c>
      <c r="C30" s="9" t="str">
        <f>IF(_motor!$B$610=0,"",_motor!$E$610)</f>
        <v/>
      </c>
      <c r="D30" s="9" t="str">
        <f>IF(_motor!$B$610=0,"",_motor!$F$610)</f>
        <v/>
      </c>
      <c r="E30" s="8" t="str">
        <f>IF(OR(_motor!$B$610=0,_motor!$B$673=0),"",_motor!$E$610/_motor!$B$673)</f>
        <v/>
      </c>
      <c r="F30" s="8" t="str">
        <f>IF(OR(_motor!$B$610=0,_motor!$B$673=0),"",_motor!$F$610/_motor!$B$673)</f>
        <v/>
      </c>
      <c r="G30" s="7" t="str">
        <f>IF(_motor!$B$610=0,"",SUMPRODUCT(_motor!$B$586:$B$665*(_motor!$E$586:$E$665&gt;_motor!$E$610))+(SUMPRODUCT(_motor!$B$586:$B$665*(_motor!$E$586:$E$665=_motor!$E$610))+1)/2)</f>
        <v/>
      </c>
      <c r="H30" s="7" t="str">
        <f>IF(_motor!$B$610=0,"",SUMPRODUCT(_motor!$B$586:$B$665*(_motor!$F$586:$F$665&gt;_motor!$F$610))+(SUMPRODUCT(_motor!$B$586:$B$665*(_motor!$F$586:$F$665=_motor!$F$610))+1)/2)</f>
        <v/>
      </c>
      <c r="I30" s="2" t="str">
        <f>IF(_motor!$B$610=0,"",IF(AND(ABS(_motor!$E$610-_motor!$B$669)&lt;=_motor!$B$677+0.000000001,ABS(_motor!$F$610-_motor!$B$669)&lt;=_motor!$B$677+0.000000001),"5 · Pelotón (no concluyente)",IF(AND(_motor!$E$610&gt;=_motor!$B$669,_motor!$F$610&lt;_motor!$B$669),"1 · Entrada / determinante",IF(AND(_motor!$E$610&gt;=_motor!$B$669,_motor!$F$610&gt;=_motor!$B$669),"2 · Intermedia / de enlace",IF(AND(_motor!$E$610&lt;_motor!$B$669,_motor!$F$610&gt;=_motor!$B$669),"3 · Resultado","4 · Excluida / autónoma")))))</f>
        <v/>
      </c>
      <c r="J30" s="2" t="str">
        <f>IF(_motor!$B$610=0,"",IF(AND(ABS(_motor!$E$610-_motor!$B$669)&lt;=_motor!$B$677+0.000000001,ABS(_motor!$F$610-_motor!$B$669)&lt;=_motor!$B$677+0.000000001),"Reguladora",IF(AND(_motor!$E$610&gt;=_motor!$B$669,_motor!$F$610&lt;0.5*_motor!$B$669),"Determinante / entorno",IF(AND(_motor!$E$610&gt;=_motor!$B$669,_motor!$F$610&lt;_motor!$B$669),"Palanca secundaria",IF(AND(_motor!$E$610&gt;=_motor!$B$669,_motor!$F$610&gt;=_motor!$B$669),"Clave / de enlace",IF(AND(_motor!$F$610&gt;=_motor!$B$669,_motor!$E$610&gt;=0.5*_motor!$B$669),"Objetivo",IF(_motor!$F$610&gt;=_motor!$B$669,"Resultado","Autónoma")))))))</f>
        <v/>
      </c>
      <c r="K30" s="2" t="str">
        <f>IF(_motor!$B$610=0,"",_motor!$M$610-_motor!$O$610)</f>
        <v/>
      </c>
      <c r="L30" s="2" t="str">
        <f>IF(_motor!$B$610=0,"",IF(_motor!$O$610&lt;_motor!$M$610-2,"▲ VARIABLE OCULTA (sube "&amp;TEXT(_motor!$M$610-_motor!$O$610,"0")&amp;" puestos)",IF(_motor!$O$610&gt;_motor!$M$610+2,"▼ Sobrevalorada en directo (baja "&amp;TEXT(_motor!$O$610-_motor!$M$610,"0")&amp;")","= Estable")))</f>
        <v/>
      </c>
    </row>
    <row r="31" spans="1:12" x14ac:dyDescent="0.2">
      <c r="A31" s="6" t="str">
        <f>IF(_motor!$B$611=0,"",'02 · Variables'!$B$32)</f>
        <v/>
      </c>
      <c r="B31" s="2" t="str">
        <f>IF(_motor!$B$611=0,"",'02 · Variables'!$C$32)</f>
        <v/>
      </c>
      <c r="C31" s="9" t="str">
        <f>IF(_motor!$B$611=0,"",_motor!$E$611)</f>
        <v/>
      </c>
      <c r="D31" s="9" t="str">
        <f>IF(_motor!$B$611=0,"",_motor!$F$611)</f>
        <v/>
      </c>
      <c r="E31" s="8" t="str">
        <f>IF(OR(_motor!$B$611=0,_motor!$B$673=0),"",_motor!$E$611/_motor!$B$673)</f>
        <v/>
      </c>
      <c r="F31" s="8" t="str">
        <f>IF(OR(_motor!$B$611=0,_motor!$B$673=0),"",_motor!$F$611/_motor!$B$673)</f>
        <v/>
      </c>
      <c r="G31" s="7" t="str">
        <f>IF(_motor!$B$611=0,"",SUMPRODUCT(_motor!$B$586:$B$665*(_motor!$E$586:$E$665&gt;_motor!$E$611))+(SUMPRODUCT(_motor!$B$586:$B$665*(_motor!$E$586:$E$665=_motor!$E$611))+1)/2)</f>
        <v/>
      </c>
      <c r="H31" s="7" t="str">
        <f>IF(_motor!$B$611=0,"",SUMPRODUCT(_motor!$B$586:$B$665*(_motor!$F$586:$F$665&gt;_motor!$F$611))+(SUMPRODUCT(_motor!$B$586:$B$665*(_motor!$F$586:$F$665=_motor!$F$611))+1)/2)</f>
        <v/>
      </c>
      <c r="I31" s="2" t="str">
        <f>IF(_motor!$B$611=0,"",IF(AND(ABS(_motor!$E$611-_motor!$B$669)&lt;=_motor!$B$677+0.000000001,ABS(_motor!$F$611-_motor!$B$669)&lt;=_motor!$B$677+0.000000001),"5 · Pelotón (no concluyente)",IF(AND(_motor!$E$611&gt;=_motor!$B$669,_motor!$F$611&lt;_motor!$B$669),"1 · Entrada / determinante",IF(AND(_motor!$E$611&gt;=_motor!$B$669,_motor!$F$611&gt;=_motor!$B$669),"2 · Intermedia / de enlace",IF(AND(_motor!$E$611&lt;_motor!$B$669,_motor!$F$611&gt;=_motor!$B$669),"3 · Resultado","4 · Excluida / autónoma")))))</f>
        <v/>
      </c>
      <c r="J31" s="2" t="str">
        <f>IF(_motor!$B$611=0,"",IF(AND(ABS(_motor!$E$611-_motor!$B$669)&lt;=_motor!$B$677+0.000000001,ABS(_motor!$F$611-_motor!$B$669)&lt;=_motor!$B$677+0.000000001),"Reguladora",IF(AND(_motor!$E$611&gt;=_motor!$B$669,_motor!$F$611&lt;0.5*_motor!$B$669),"Determinante / entorno",IF(AND(_motor!$E$611&gt;=_motor!$B$669,_motor!$F$611&lt;_motor!$B$669),"Palanca secundaria",IF(AND(_motor!$E$611&gt;=_motor!$B$669,_motor!$F$611&gt;=_motor!$B$669),"Clave / de enlace",IF(AND(_motor!$F$611&gt;=_motor!$B$669,_motor!$E$611&gt;=0.5*_motor!$B$669),"Objetivo",IF(_motor!$F$611&gt;=_motor!$B$669,"Resultado","Autónoma")))))))</f>
        <v/>
      </c>
      <c r="K31" s="2" t="str">
        <f>IF(_motor!$B$611=0,"",_motor!$M$611-_motor!$O$611)</f>
        <v/>
      </c>
      <c r="L31" s="2" t="str">
        <f>IF(_motor!$B$611=0,"",IF(_motor!$O$611&lt;_motor!$M$611-2,"▲ VARIABLE OCULTA (sube "&amp;TEXT(_motor!$M$611-_motor!$O$611,"0")&amp;" puestos)",IF(_motor!$O$611&gt;_motor!$M$611+2,"▼ Sobrevalorada en directo (baja "&amp;TEXT(_motor!$O$611-_motor!$M$611,"0")&amp;")","= Estable")))</f>
        <v/>
      </c>
    </row>
    <row r="32" spans="1:12" x14ac:dyDescent="0.2">
      <c r="A32" s="6" t="str">
        <f>IF(_motor!$B$612=0,"",'02 · Variables'!$B$33)</f>
        <v/>
      </c>
      <c r="B32" s="2" t="str">
        <f>IF(_motor!$B$612=0,"",'02 · Variables'!$C$33)</f>
        <v/>
      </c>
      <c r="C32" s="9" t="str">
        <f>IF(_motor!$B$612=0,"",_motor!$E$612)</f>
        <v/>
      </c>
      <c r="D32" s="9" t="str">
        <f>IF(_motor!$B$612=0,"",_motor!$F$612)</f>
        <v/>
      </c>
      <c r="E32" s="8" t="str">
        <f>IF(OR(_motor!$B$612=0,_motor!$B$673=0),"",_motor!$E$612/_motor!$B$673)</f>
        <v/>
      </c>
      <c r="F32" s="8" t="str">
        <f>IF(OR(_motor!$B$612=0,_motor!$B$673=0),"",_motor!$F$612/_motor!$B$673)</f>
        <v/>
      </c>
      <c r="G32" s="7" t="str">
        <f>IF(_motor!$B$612=0,"",SUMPRODUCT(_motor!$B$586:$B$665*(_motor!$E$586:$E$665&gt;_motor!$E$612))+(SUMPRODUCT(_motor!$B$586:$B$665*(_motor!$E$586:$E$665=_motor!$E$612))+1)/2)</f>
        <v/>
      </c>
      <c r="H32" s="7" t="str">
        <f>IF(_motor!$B$612=0,"",SUMPRODUCT(_motor!$B$586:$B$665*(_motor!$F$586:$F$665&gt;_motor!$F$612))+(SUMPRODUCT(_motor!$B$586:$B$665*(_motor!$F$586:$F$665=_motor!$F$612))+1)/2)</f>
        <v/>
      </c>
      <c r="I32" s="2" t="str">
        <f>IF(_motor!$B$612=0,"",IF(AND(ABS(_motor!$E$612-_motor!$B$669)&lt;=_motor!$B$677+0.000000001,ABS(_motor!$F$612-_motor!$B$669)&lt;=_motor!$B$677+0.000000001),"5 · Pelotón (no concluyente)",IF(AND(_motor!$E$612&gt;=_motor!$B$669,_motor!$F$612&lt;_motor!$B$669),"1 · Entrada / determinante",IF(AND(_motor!$E$612&gt;=_motor!$B$669,_motor!$F$612&gt;=_motor!$B$669),"2 · Intermedia / de enlace",IF(AND(_motor!$E$612&lt;_motor!$B$669,_motor!$F$612&gt;=_motor!$B$669),"3 · Resultado","4 · Excluida / autónoma")))))</f>
        <v/>
      </c>
      <c r="J32" s="2" t="str">
        <f>IF(_motor!$B$612=0,"",IF(AND(ABS(_motor!$E$612-_motor!$B$669)&lt;=_motor!$B$677+0.000000001,ABS(_motor!$F$612-_motor!$B$669)&lt;=_motor!$B$677+0.000000001),"Reguladora",IF(AND(_motor!$E$612&gt;=_motor!$B$669,_motor!$F$612&lt;0.5*_motor!$B$669),"Determinante / entorno",IF(AND(_motor!$E$612&gt;=_motor!$B$669,_motor!$F$612&lt;_motor!$B$669),"Palanca secundaria",IF(AND(_motor!$E$612&gt;=_motor!$B$669,_motor!$F$612&gt;=_motor!$B$669),"Clave / de enlace",IF(AND(_motor!$F$612&gt;=_motor!$B$669,_motor!$E$612&gt;=0.5*_motor!$B$669),"Objetivo",IF(_motor!$F$612&gt;=_motor!$B$669,"Resultado","Autónoma")))))))</f>
        <v/>
      </c>
      <c r="K32" s="2" t="str">
        <f>IF(_motor!$B$612=0,"",_motor!$M$612-_motor!$O$612)</f>
        <v/>
      </c>
      <c r="L32" s="2" t="str">
        <f>IF(_motor!$B$612=0,"",IF(_motor!$O$612&lt;_motor!$M$612-2,"▲ VARIABLE OCULTA (sube "&amp;TEXT(_motor!$M$612-_motor!$O$612,"0")&amp;" puestos)",IF(_motor!$O$612&gt;_motor!$M$612+2,"▼ Sobrevalorada en directo (baja "&amp;TEXT(_motor!$O$612-_motor!$M$612,"0")&amp;")","= Estable")))</f>
        <v/>
      </c>
    </row>
    <row r="33" spans="1:12" x14ac:dyDescent="0.2">
      <c r="A33" s="6" t="str">
        <f>IF(_motor!$B$613=0,"",'02 · Variables'!$B$34)</f>
        <v/>
      </c>
      <c r="B33" s="2" t="str">
        <f>IF(_motor!$B$613=0,"",'02 · Variables'!$C$34)</f>
        <v/>
      </c>
      <c r="C33" s="9" t="str">
        <f>IF(_motor!$B$613=0,"",_motor!$E$613)</f>
        <v/>
      </c>
      <c r="D33" s="9" t="str">
        <f>IF(_motor!$B$613=0,"",_motor!$F$613)</f>
        <v/>
      </c>
      <c r="E33" s="8" t="str">
        <f>IF(OR(_motor!$B$613=0,_motor!$B$673=0),"",_motor!$E$613/_motor!$B$673)</f>
        <v/>
      </c>
      <c r="F33" s="8" t="str">
        <f>IF(OR(_motor!$B$613=0,_motor!$B$673=0),"",_motor!$F$613/_motor!$B$673)</f>
        <v/>
      </c>
      <c r="G33" s="7" t="str">
        <f>IF(_motor!$B$613=0,"",SUMPRODUCT(_motor!$B$586:$B$665*(_motor!$E$586:$E$665&gt;_motor!$E$613))+(SUMPRODUCT(_motor!$B$586:$B$665*(_motor!$E$586:$E$665=_motor!$E$613))+1)/2)</f>
        <v/>
      </c>
      <c r="H33" s="7" t="str">
        <f>IF(_motor!$B$613=0,"",SUMPRODUCT(_motor!$B$586:$B$665*(_motor!$F$586:$F$665&gt;_motor!$F$613))+(SUMPRODUCT(_motor!$B$586:$B$665*(_motor!$F$586:$F$665=_motor!$F$613))+1)/2)</f>
        <v/>
      </c>
      <c r="I33" s="2" t="str">
        <f>IF(_motor!$B$613=0,"",IF(AND(ABS(_motor!$E$613-_motor!$B$669)&lt;=_motor!$B$677+0.000000001,ABS(_motor!$F$613-_motor!$B$669)&lt;=_motor!$B$677+0.000000001),"5 · Pelotón (no concluyente)",IF(AND(_motor!$E$613&gt;=_motor!$B$669,_motor!$F$613&lt;_motor!$B$669),"1 · Entrada / determinante",IF(AND(_motor!$E$613&gt;=_motor!$B$669,_motor!$F$613&gt;=_motor!$B$669),"2 · Intermedia / de enlace",IF(AND(_motor!$E$613&lt;_motor!$B$669,_motor!$F$613&gt;=_motor!$B$669),"3 · Resultado","4 · Excluida / autónoma")))))</f>
        <v/>
      </c>
      <c r="J33" s="2" t="str">
        <f>IF(_motor!$B$613=0,"",IF(AND(ABS(_motor!$E$613-_motor!$B$669)&lt;=_motor!$B$677+0.000000001,ABS(_motor!$F$613-_motor!$B$669)&lt;=_motor!$B$677+0.000000001),"Reguladora",IF(AND(_motor!$E$613&gt;=_motor!$B$669,_motor!$F$613&lt;0.5*_motor!$B$669),"Determinante / entorno",IF(AND(_motor!$E$613&gt;=_motor!$B$669,_motor!$F$613&lt;_motor!$B$669),"Palanca secundaria",IF(AND(_motor!$E$613&gt;=_motor!$B$669,_motor!$F$613&gt;=_motor!$B$669),"Clave / de enlace",IF(AND(_motor!$F$613&gt;=_motor!$B$669,_motor!$E$613&gt;=0.5*_motor!$B$669),"Objetivo",IF(_motor!$F$613&gt;=_motor!$B$669,"Resultado","Autónoma")))))))</f>
        <v/>
      </c>
      <c r="K33" s="2" t="str">
        <f>IF(_motor!$B$613=0,"",_motor!$M$613-_motor!$O$613)</f>
        <v/>
      </c>
      <c r="L33" s="2" t="str">
        <f>IF(_motor!$B$613=0,"",IF(_motor!$O$613&lt;_motor!$M$613-2,"▲ VARIABLE OCULTA (sube "&amp;TEXT(_motor!$M$613-_motor!$O$613,"0")&amp;" puestos)",IF(_motor!$O$613&gt;_motor!$M$613+2,"▼ Sobrevalorada en directo (baja "&amp;TEXT(_motor!$O$613-_motor!$M$613,"0")&amp;")","= Estable")))</f>
        <v/>
      </c>
    </row>
    <row r="34" spans="1:12" x14ac:dyDescent="0.2">
      <c r="A34" s="6" t="str">
        <f>IF(_motor!$B$614=0,"",'02 · Variables'!$B$35)</f>
        <v/>
      </c>
      <c r="B34" s="2" t="str">
        <f>IF(_motor!$B$614=0,"",'02 · Variables'!$C$35)</f>
        <v/>
      </c>
      <c r="C34" s="9" t="str">
        <f>IF(_motor!$B$614=0,"",_motor!$E$614)</f>
        <v/>
      </c>
      <c r="D34" s="9" t="str">
        <f>IF(_motor!$B$614=0,"",_motor!$F$614)</f>
        <v/>
      </c>
      <c r="E34" s="8" t="str">
        <f>IF(OR(_motor!$B$614=0,_motor!$B$673=0),"",_motor!$E$614/_motor!$B$673)</f>
        <v/>
      </c>
      <c r="F34" s="8" t="str">
        <f>IF(OR(_motor!$B$614=0,_motor!$B$673=0),"",_motor!$F$614/_motor!$B$673)</f>
        <v/>
      </c>
      <c r="G34" s="7" t="str">
        <f>IF(_motor!$B$614=0,"",SUMPRODUCT(_motor!$B$586:$B$665*(_motor!$E$586:$E$665&gt;_motor!$E$614))+(SUMPRODUCT(_motor!$B$586:$B$665*(_motor!$E$586:$E$665=_motor!$E$614))+1)/2)</f>
        <v/>
      </c>
      <c r="H34" s="7" t="str">
        <f>IF(_motor!$B$614=0,"",SUMPRODUCT(_motor!$B$586:$B$665*(_motor!$F$586:$F$665&gt;_motor!$F$614))+(SUMPRODUCT(_motor!$B$586:$B$665*(_motor!$F$586:$F$665=_motor!$F$614))+1)/2)</f>
        <v/>
      </c>
      <c r="I34" s="2" t="str">
        <f>IF(_motor!$B$614=0,"",IF(AND(ABS(_motor!$E$614-_motor!$B$669)&lt;=_motor!$B$677+0.000000001,ABS(_motor!$F$614-_motor!$B$669)&lt;=_motor!$B$677+0.000000001),"5 · Pelotón (no concluyente)",IF(AND(_motor!$E$614&gt;=_motor!$B$669,_motor!$F$614&lt;_motor!$B$669),"1 · Entrada / determinante",IF(AND(_motor!$E$614&gt;=_motor!$B$669,_motor!$F$614&gt;=_motor!$B$669),"2 · Intermedia / de enlace",IF(AND(_motor!$E$614&lt;_motor!$B$669,_motor!$F$614&gt;=_motor!$B$669),"3 · Resultado","4 · Excluida / autónoma")))))</f>
        <v/>
      </c>
      <c r="J34" s="2" t="str">
        <f>IF(_motor!$B$614=0,"",IF(AND(ABS(_motor!$E$614-_motor!$B$669)&lt;=_motor!$B$677+0.000000001,ABS(_motor!$F$614-_motor!$B$669)&lt;=_motor!$B$677+0.000000001),"Reguladora",IF(AND(_motor!$E$614&gt;=_motor!$B$669,_motor!$F$614&lt;0.5*_motor!$B$669),"Determinante / entorno",IF(AND(_motor!$E$614&gt;=_motor!$B$669,_motor!$F$614&lt;_motor!$B$669),"Palanca secundaria",IF(AND(_motor!$E$614&gt;=_motor!$B$669,_motor!$F$614&gt;=_motor!$B$669),"Clave / de enlace",IF(AND(_motor!$F$614&gt;=_motor!$B$669,_motor!$E$614&gt;=0.5*_motor!$B$669),"Objetivo",IF(_motor!$F$614&gt;=_motor!$B$669,"Resultado","Autónoma")))))))</f>
        <v/>
      </c>
      <c r="K34" s="2" t="str">
        <f>IF(_motor!$B$614=0,"",_motor!$M$614-_motor!$O$614)</f>
        <v/>
      </c>
      <c r="L34" s="2" t="str">
        <f>IF(_motor!$B$614=0,"",IF(_motor!$O$614&lt;_motor!$M$614-2,"▲ VARIABLE OCULTA (sube "&amp;TEXT(_motor!$M$614-_motor!$O$614,"0")&amp;" puestos)",IF(_motor!$O$614&gt;_motor!$M$614+2,"▼ Sobrevalorada en directo (baja "&amp;TEXT(_motor!$O$614-_motor!$M$614,"0")&amp;")","= Estable")))</f>
        <v/>
      </c>
    </row>
    <row r="35" spans="1:12" x14ac:dyDescent="0.2">
      <c r="A35" s="6" t="str">
        <f>IF(_motor!$B$615=0,"",'02 · Variables'!$B$36)</f>
        <v/>
      </c>
      <c r="B35" s="2" t="str">
        <f>IF(_motor!$B$615=0,"",'02 · Variables'!$C$36)</f>
        <v/>
      </c>
      <c r="C35" s="9" t="str">
        <f>IF(_motor!$B$615=0,"",_motor!$E$615)</f>
        <v/>
      </c>
      <c r="D35" s="9" t="str">
        <f>IF(_motor!$B$615=0,"",_motor!$F$615)</f>
        <v/>
      </c>
      <c r="E35" s="8" t="str">
        <f>IF(OR(_motor!$B$615=0,_motor!$B$673=0),"",_motor!$E$615/_motor!$B$673)</f>
        <v/>
      </c>
      <c r="F35" s="8" t="str">
        <f>IF(OR(_motor!$B$615=0,_motor!$B$673=0),"",_motor!$F$615/_motor!$B$673)</f>
        <v/>
      </c>
      <c r="G35" s="7" t="str">
        <f>IF(_motor!$B$615=0,"",SUMPRODUCT(_motor!$B$586:$B$665*(_motor!$E$586:$E$665&gt;_motor!$E$615))+(SUMPRODUCT(_motor!$B$586:$B$665*(_motor!$E$586:$E$665=_motor!$E$615))+1)/2)</f>
        <v/>
      </c>
      <c r="H35" s="7" t="str">
        <f>IF(_motor!$B$615=0,"",SUMPRODUCT(_motor!$B$586:$B$665*(_motor!$F$586:$F$665&gt;_motor!$F$615))+(SUMPRODUCT(_motor!$B$586:$B$665*(_motor!$F$586:$F$665=_motor!$F$615))+1)/2)</f>
        <v/>
      </c>
      <c r="I35" s="2" t="str">
        <f>IF(_motor!$B$615=0,"",IF(AND(ABS(_motor!$E$615-_motor!$B$669)&lt;=_motor!$B$677+0.000000001,ABS(_motor!$F$615-_motor!$B$669)&lt;=_motor!$B$677+0.000000001),"5 · Pelotón (no concluyente)",IF(AND(_motor!$E$615&gt;=_motor!$B$669,_motor!$F$615&lt;_motor!$B$669),"1 · Entrada / determinante",IF(AND(_motor!$E$615&gt;=_motor!$B$669,_motor!$F$615&gt;=_motor!$B$669),"2 · Intermedia / de enlace",IF(AND(_motor!$E$615&lt;_motor!$B$669,_motor!$F$615&gt;=_motor!$B$669),"3 · Resultado","4 · Excluida / autónoma")))))</f>
        <v/>
      </c>
      <c r="J35" s="2" t="str">
        <f>IF(_motor!$B$615=0,"",IF(AND(ABS(_motor!$E$615-_motor!$B$669)&lt;=_motor!$B$677+0.000000001,ABS(_motor!$F$615-_motor!$B$669)&lt;=_motor!$B$677+0.000000001),"Reguladora",IF(AND(_motor!$E$615&gt;=_motor!$B$669,_motor!$F$615&lt;0.5*_motor!$B$669),"Determinante / entorno",IF(AND(_motor!$E$615&gt;=_motor!$B$669,_motor!$F$615&lt;_motor!$B$669),"Palanca secundaria",IF(AND(_motor!$E$615&gt;=_motor!$B$669,_motor!$F$615&gt;=_motor!$B$669),"Clave / de enlace",IF(AND(_motor!$F$615&gt;=_motor!$B$669,_motor!$E$615&gt;=0.5*_motor!$B$669),"Objetivo",IF(_motor!$F$615&gt;=_motor!$B$669,"Resultado","Autónoma")))))))</f>
        <v/>
      </c>
      <c r="K35" s="2" t="str">
        <f>IF(_motor!$B$615=0,"",_motor!$M$615-_motor!$O$615)</f>
        <v/>
      </c>
      <c r="L35" s="2" t="str">
        <f>IF(_motor!$B$615=0,"",IF(_motor!$O$615&lt;_motor!$M$615-2,"▲ VARIABLE OCULTA (sube "&amp;TEXT(_motor!$M$615-_motor!$O$615,"0")&amp;" puestos)",IF(_motor!$O$615&gt;_motor!$M$615+2,"▼ Sobrevalorada en directo (baja "&amp;TEXT(_motor!$O$615-_motor!$M$615,"0")&amp;")","= Estable")))</f>
        <v/>
      </c>
    </row>
    <row r="36" spans="1:12" x14ac:dyDescent="0.2">
      <c r="A36" s="6" t="str">
        <f>IF(_motor!$B$616=0,"",'02 · Variables'!$B$37)</f>
        <v/>
      </c>
      <c r="B36" s="2" t="str">
        <f>IF(_motor!$B$616=0,"",'02 · Variables'!$C$37)</f>
        <v/>
      </c>
      <c r="C36" s="9" t="str">
        <f>IF(_motor!$B$616=0,"",_motor!$E$616)</f>
        <v/>
      </c>
      <c r="D36" s="9" t="str">
        <f>IF(_motor!$B$616=0,"",_motor!$F$616)</f>
        <v/>
      </c>
      <c r="E36" s="8" t="str">
        <f>IF(OR(_motor!$B$616=0,_motor!$B$673=0),"",_motor!$E$616/_motor!$B$673)</f>
        <v/>
      </c>
      <c r="F36" s="8" t="str">
        <f>IF(OR(_motor!$B$616=0,_motor!$B$673=0),"",_motor!$F$616/_motor!$B$673)</f>
        <v/>
      </c>
      <c r="G36" s="7" t="str">
        <f>IF(_motor!$B$616=0,"",SUMPRODUCT(_motor!$B$586:$B$665*(_motor!$E$586:$E$665&gt;_motor!$E$616))+(SUMPRODUCT(_motor!$B$586:$B$665*(_motor!$E$586:$E$665=_motor!$E$616))+1)/2)</f>
        <v/>
      </c>
      <c r="H36" s="7" t="str">
        <f>IF(_motor!$B$616=0,"",SUMPRODUCT(_motor!$B$586:$B$665*(_motor!$F$586:$F$665&gt;_motor!$F$616))+(SUMPRODUCT(_motor!$B$586:$B$665*(_motor!$F$586:$F$665=_motor!$F$616))+1)/2)</f>
        <v/>
      </c>
      <c r="I36" s="2" t="str">
        <f>IF(_motor!$B$616=0,"",IF(AND(ABS(_motor!$E$616-_motor!$B$669)&lt;=_motor!$B$677+0.000000001,ABS(_motor!$F$616-_motor!$B$669)&lt;=_motor!$B$677+0.000000001),"5 · Pelotón (no concluyente)",IF(AND(_motor!$E$616&gt;=_motor!$B$669,_motor!$F$616&lt;_motor!$B$669),"1 · Entrada / determinante",IF(AND(_motor!$E$616&gt;=_motor!$B$669,_motor!$F$616&gt;=_motor!$B$669),"2 · Intermedia / de enlace",IF(AND(_motor!$E$616&lt;_motor!$B$669,_motor!$F$616&gt;=_motor!$B$669),"3 · Resultado","4 · Excluida / autónoma")))))</f>
        <v/>
      </c>
      <c r="J36" s="2" t="str">
        <f>IF(_motor!$B$616=0,"",IF(AND(ABS(_motor!$E$616-_motor!$B$669)&lt;=_motor!$B$677+0.000000001,ABS(_motor!$F$616-_motor!$B$669)&lt;=_motor!$B$677+0.000000001),"Reguladora",IF(AND(_motor!$E$616&gt;=_motor!$B$669,_motor!$F$616&lt;0.5*_motor!$B$669),"Determinante / entorno",IF(AND(_motor!$E$616&gt;=_motor!$B$669,_motor!$F$616&lt;_motor!$B$669),"Palanca secundaria",IF(AND(_motor!$E$616&gt;=_motor!$B$669,_motor!$F$616&gt;=_motor!$B$669),"Clave / de enlace",IF(AND(_motor!$F$616&gt;=_motor!$B$669,_motor!$E$616&gt;=0.5*_motor!$B$669),"Objetivo",IF(_motor!$F$616&gt;=_motor!$B$669,"Resultado","Autónoma")))))))</f>
        <v/>
      </c>
      <c r="K36" s="2" t="str">
        <f>IF(_motor!$B$616=0,"",_motor!$M$616-_motor!$O$616)</f>
        <v/>
      </c>
      <c r="L36" s="2" t="str">
        <f>IF(_motor!$B$616=0,"",IF(_motor!$O$616&lt;_motor!$M$616-2,"▲ VARIABLE OCULTA (sube "&amp;TEXT(_motor!$M$616-_motor!$O$616,"0")&amp;" puestos)",IF(_motor!$O$616&gt;_motor!$M$616+2,"▼ Sobrevalorada en directo (baja "&amp;TEXT(_motor!$O$616-_motor!$M$616,"0")&amp;")","= Estable")))</f>
        <v/>
      </c>
    </row>
    <row r="37" spans="1:12" x14ac:dyDescent="0.2">
      <c r="A37" s="6" t="str">
        <f>IF(_motor!$B$617=0,"",'02 · Variables'!$B$38)</f>
        <v/>
      </c>
      <c r="B37" s="2" t="str">
        <f>IF(_motor!$B$617=0,"",'02 · Variables'!$C$38)</f>
        <v/>
      </c>
      <c r="C37" s="9" t="str">
        <f>IF(_motor!$B$617=0,"",_motor!$E$617)</f>
        <v/>
      </c>
      <c r="D37" s="9" t="str">
        <f>IF(_motor!$B$617=0,"",_motor!$F$617)</f>
        <v/>
      </c>
      <c r="E37" s="8" t="str">
        <f>IF(OR(_motor!$B$617=0,_motor!$B$673=0),"",_motor!$E$617/_motor!$B$673)</f>
        <v/>
      </c>
      <c r="F37" s="8" t="str">
        <f>IF(OR(_motor!$B$617=0,_motor!$B$673=0),"",_motor!$F$617/_motor!$B$673)</f>
        <v/>
      </c>
      <c r="G37" s="7" t="str">
        <f>IF(_motor!$B$617=0,"",SUMPRODUCT(_motor!$B$586:$B$665*(_motor!$E$586:$E$665&gt;_motor!$E$617))+(SUMPRODUCT(_motor!$B$586:$B$665*(_motor!$E$586:$E$665=_motor!$E$617))+1)/2)</f>
        <v/>
      </c>
      <c r="H37" s="7" t="str">
        <f>IF(_motor!$B$617=0,"",SUMPRODUCT(_motor!$B$586:$B$665*(_motor!$F$586:$F$665&gt;_motor!$F$617))+(SUMPRODUCT(_motor!$B$586:$B$665*(_motor!$F$586:$F$665=_motor!$F$617))+1)/2)</f>
        <v/>
      </c>
      <c r="I37" s="2" t="str">
        <f>IF(_motor!$B$617=0,"",IF(AND(ABS(_motor!$E$617-_motor!$B$669)&lt;=_motor!$B$677+0.000000001,ABS(_motor!$F$617-_motor!$B$669)&lt;=_motor!$B$677+0.000000001),"5 · Pelotón (no concluyente)",IF(AND(_motor!$E$617&gt;=_motor!$B$669,_motor!$F$617&lt;_motor!$B$669),"1 · Entrada / determinante",IF(AND(_motor!$E$617&gt;=_motor!$B$669,_motor!$F$617&gt;=_motor!$B$669),"2 · Intermedia / de enlace",IF(AND(_motor!$E$617&lt;_motor!$B$669,_motor!$F$617&gt;=_motor!$B$669),"3 · Resultado","4 · Excluida / autónoma")))))</f>
        <v/>
      </c>
      <c r="J37" s="2" t="str">
        <f>IF(_motor!$B$617=0,"",IF(AND(ABS(_motor!$E$617-_motor!$B$669)&lt;=_motor!$B$677+0.000000001,ABS(_motor!$F$617-_motor!$B$669)&lt;=_motor!$B$677+0.000000001),"Reguladora",IF(AND(_motor!$E$617&gt;=_motor!$B$669,_motor!$F$617&lt;0.5*_motor!$B$669),"Determinante / entorno",IF(AND(_motor!$E$617&gt;=_motor!$B$669,_motor!$F$617&lt;_motor!$B$669),"Palanca secundaria",IF(AND(_motor!$E$617&gt;=_motor!$B$669,_motor!$F$617&gt;=_motor!$B$669),"Clave / de enlace",IF(AND(_motor!$F$617&gt;=_motor!$B$669,_motor!$E$617&gt;=0.5*_motor!$B$669),"Objetivo",IF(_motor!$F$617&gt;=_motor!$B$669,"Resultado","Autónoma")))))))</f>
        <v/>
      </c>
      <c r="K37" s="2" t="str">
        <f>IF(_motor!$B$617=0,"",_motor!$M$617-_motor!$O$617)</f>
        <v/>
      </c>
      <c r="L37" s="2" t="str">
        <f>IF(_motor!$B$617=0,"",IF(_motor!$O$617&lt;_motor!$M$617-2,"▲ VARIABLE OCULTA (sube "&amp;TEXT(_motor!$M$617-_motor!$O$617,"0")&amp;" puestos)",IF(_motor!$O$617&gt;_motor!$M$617+2,"▼ Sobrevalorada en directo (baja "&amp;TEXT(_motor!$O$617-_motor!$M$617,"0")&amp;")","= Estable")))</f>
        <v/>
      </c>
    </row>
    <row r="38" spans="1:12" x14ac:dyDescent="0.2">
      <c r="A38" s="6" t="str">
        <f>IF(_motor!$B$618=0,"",'02 · Variables'!$B$39)</f>
        <v/>
      </c>
      <c r="B38" s="2" t="str">
        <f>IF(_motor!$B$618=0,"",'02 · Variables'!$C$39)</f>
        <v/>
      </c>
      <c r="C38" s="9" t="str">
        <f>IF(_motor!$B$618=0,"",_motor!$E$618)</f>
        <v/>
      </c>
      <c r="D38" s="9" t="str">
        <f>IF(_motor!$B$618=0,"",_motor!$F$618)</f>
        <v/>
      </c>
      <c r="E38" s="8" t="str">
        <f>IF(OR(_motor!$B$618=0,_motor!$B$673=0),"",_motor!$E$618/_motor!$B$673)</f>
        <v/>
      </c>
      <c r="F38" s="8" t="str">
        <f>IF(OR(_motor!$B$618=0,_motor!$B$673=0),"",_motor!$F$618/_motor!$B$673)</f>
        <v/>
      </c>
      <c r="G38" s="7" t="str">
        <f>IF(_motor!$B$618=0,"",SUMPRODUCT(_motor!$B$586:$B$665*(_motor!$E$586:$E$665&gt;_motor!$E$618))+(SUMPRODUCT(_motor!$B$586:$B$665*(_motor!$E$586:$E$665=_motor!$E$618))+1)/2)</f>
        <v/>
      </c>
      <c r="H38" s="7" t="str">
        <f>IF(_motor!$B$618=0,"",SUMPRODUCT(_motor!$B$586:$B$665*(_motor!$F$586:$F$665&gt;_motor!$F$618))+(SUMPRODUCT(_motor!$B$586:$B$665*(_motor!$F$586:$F$665=_motor!$F$618))+1)/2)</f>
        <v/>
      </c>
      <c r="I38" s="2" t="str">
        <f>IF(_motor!$B$618=0,"",IF(AND(ABS(_motor!$E$618-_motor!$B$669)&lt;=_motor!$B$677+0.000000001,ABS(_motor!$F$618-_motor!$B$669)&lt;=_motor!$B$677+0.000000001),"5 · Pelotón (no concluyente)",IF(AND(_motor!$E$618&gt;=_motor!$B$669,_motor!$F$618&lt;_motor!$B$669),"1 · Entrada / determinante",IF(AND(_motor!$E$618&gt;=_motor!$B$669,_motor!$F$618&gt;=_motor!$B$669),"2 · Intermedia / de enlace",IF(AND(_motor!$E$618&lt;_motor!$B$669,_motor!$F$618&gt;=_motor!$B$669),"3 · Resultado","4 · Excluida / autónoma")))))</f>
        <v/>
      </c>
      <c r="J38" s="2" t="str">
        <f>IF(_motor!$B$618=0,"",IF(AND(ABS(_motor!$E$618-_motor!$B$669)&lt;=_motor!$B$677+0.000000001,ABS(_motor!$F$618-_motor!$B$669)&lt;=_motor!$B$677+0.000000001),"Reguladora",IF(AND(_motor!$E$618&gt;=_motor!$B$669,_motor!$F$618&lt;0.5*_motor!$B$669),"Determinante / entorno",IF(AND(_motor!$E$618&gt;=_motor!$B$669,_motor!$F$618&lt;_motor!$B$669),"Palanca secundaria",IF(AND(_motor!$E$618&gt;=_motor!$B$669,_motor!$F$618&gt;=_motor!$B$669),"Clave / de enlace",IF(AND(_motor!$F$618&gt;=_motor!$B$669,_motor!$E$618&gt;=0.5*_motor!$B$669),"Objetivo",IF(_motor!$F$618&gt;=_motor!$B$669,"Resultado","Autónoma")))))))</f>
        <v/>
      </c>
      <c r="K38" s="2" t="str">
        <f>IF(_motor!$B$618=0,"",_motor!$M$618-_motor!$O$618)</f>
        <v/>
      </c>
      <c r="L38" s="2" t="str">
        <f>IF(_motor!$B$618=0,"",IF(_motor!$O$618&lt;_motor!$M$618-2,"▲ VARIABLE OCULTA (sube "&amp;TEXT(_motor!$M$618-_motor!$O$618,"0")&amp;" puestos)",IF(_motor!$O$618&gt;_motor!$M$618+2,"▼ Sobrevalorada en directo (baja "&amp;TEXT(_motor!$O$618-_motor!$M$618,"0")&amp;")","= Estable")))</f>
        <v/>
      </c>
    </row>
    <row r="39" spans="1:12" x14ac:dyDescent="0.2">
      <c r="A39" s="6" t="str">
        <f>IF(_motor!$B$619=0,"",'02 · Variables'!$B$40)</f>
        <v/>
      </c>
      <c r="B39" s="2" t="str">
        <f>IF(_motor!$B$619=0,"",'02 · Variables'!$C$40)</f>
        <v/>
      </c>
      <c r="C39" s="9" t="str">
        <f>IF(_motor!$B$619=0,"",_motor!$E$619)</f>
        <v/>
      </c>
      <c r="D39" s="9" t="str">
        <f>IF(_motor!$B$619=0,"",_motor!$F$619)</f>
        <v/>
      </c>
      <c r="E39" s="8" t="str">
        <f>IF(OR(_motor!$B$619=0,_motor!$B$673=0),"",_motor!$E$619/_motor!$B$673)</f>
        <v/>
      </c>
      <c r="F39" s="8" t="str">
        <f>IF(OR(_motor!$B$619=0,_motor!$B$673=0),"",_motor!$F$619/_motor!$B$673)</f>
        <v/>
      </c>
      <c r="G39" s="7" t="str">
        <f>IF(_motor!$B$619=0,"",SUMPRODUCT(_motor!$B$586:$B$665*(_motor!$E$586:$E$665&gt;_motor!$E$619))+(SUMPRODUCT(_motor!$B$586:$B$665*(_motor!$E$586:$E$665=_motor!$E$619))+1)/2)</f>
        <v/>
      </c>
      <c r="H39" s="7" t="str">
        <f>IF(_motor!$B$619=0,"",SUMPRODUCT(_motor!$B$586:$B$665*(_motor!$F$586:$F$665&gt;_motor!$F$619))+(SUMPRODUCT(_motor!$B$586:$B$665*(_motor!$F$586:$F$665=_motor!$F$619))+1)/2)</f>
        <v/>
      </c>
      <c r="I39" s="2" t="str">
        <f>IF(_motor!$B$619=0,"",IF(AND(ABS(_motor!$E$619-_motor!$B$669)&lt;=_motor!$B$677+0.000000001,ABS(_motor!$F$619-_motor!$B$669)&lt;=_motor!$B$677+0.000000001),"5 · Pelotón (no concluyente)",IF(AND(_motor!$E$619&gt;=_motor!$B$669,_motor!$F$619&lt;_motor!$B$669),"1 · Entrada / determinante",IF(AND(_motor!$E$619&gt;=_motor!$B$669,_motor!$F$619&gt;=_motor!$B$669),"2 · Intermedia / de enlace",IF(AND(_motor!$E$619&lt;_motor!$B$669,_motor!$F$619&gt;=_motor!$B$669),"3 · Resultado","4 · Excluida / autónoma")))))</f>
        <v/>
      </c>
      <c r="J39" s="2" t="str">
        <f>IF(_motor!$B$619=0,"",IF(AND(ABS(_motor!$E$619-_motor!$B$669)&lt;=_motor!$B$677+0.000000001,ABS(_motor!$F$619-_motor!$B$669)&lt;=_motor!$B$677+0.000000001),"Reguladora",IF(AND(_motor!$E$619&gt;=_motor!$B$669,_motor!$F$619&lt;0.5*_motor!$B$669),"Determinante / entorno",IF(AND(_motor!$E$619&gt;=_motor!$B$669,_motor!$F$619&lt;_motor!$B$669),"Palanca secundaria",IF(AND(_motor!$E$619&gt;=_motor!$B$669,_motor!$F$619&gt;=_motor!$B$669),"Clave / de enlace",IF(AND(_motor!$F$619&gt;=_motor!$B$669,_motor!$E$619&gt;=0.5*_motor!$B$669),"Objetivo",IF(_motor!$F$619&gt;=_motor!$B$669,"Resultado","Autónoma")))))))</f>
        <v/>
      </c>
      <c r="K39" s="2" t="str">
        <f>IF(_motor!$B$619=0,"",_motor!$M$619-_motor!$O$619)</f>
        <v/>
      </c>
      <c r="L39" s="2" t="str">
        <f>IF(_motor!$B$619=0,"",IF(_motor!$O$619&lt;_motor!$M$619-2,"▲ VARIABLE OCULTA (sube "&amp;TEXT(_motor!$M$619-_motor!$O$619,"0")&amp;" puestos)",IF(_motor!$O$619&gt;_motor!$M$619+2,"▼ Sobrevalorada en directo (baja "&amp;TEXT(_motor!$O$619-_motor!$M$619,"0")&amp;")","= Estable")))</f>
        <v/>
      </c>
    </row>
    <row r="40" spans="1:12" x14ac:dyDescent="0.2">
      <c r="A40" s="6" t="str">
        <f>IF(_motor!$B$620=0,"",'02 · Variables'!$B$41)</f>
        <v/>
      </c>
      <c r="B40" s="2" t="str">
        <f>IF(_motor!$B$620=0,"",'02 · Variables'!$C$41)</f>
        <v/>
      </c>
      <c r="C40" s="9" t="str">
        <f>IF(_motor!$B$620=0,"",_motor!$E$620)</f>
        <v/>
      </c>
      <c r="D40" s="9" t="str">
        <f>IF(_motor!$B$620=0,"",_motor!$F$620)</f>
        <v/>
      </c>
      <c r="E40" s="8" t="str">
        <f>IF(OR(_motor!$B$620=0,_motor!$B$673=0),"",_motor!$E$620/_motor!$B$673)</f>
        <v/>
      </c>
      <c r="F40" s="8" t="str">
        <f>IF(OR(_motor!$B$620=0,_motor!$B$673=0),"",_motor!$F$620/_motor!$B$673)</f>
        <v/>
      </c>
      <c r="G40" s="7" t="str">
        <f>IF(_motor!$B$620=0,"",SUMPRODUCT(_motor!$B$586:$B$665*(_motor!$E$586:$E$665&gt;_motor!$E$620))+(SUMPRODUCT(_motor!$B$586:$B$665*(_motor!$E$586:$E$665=_motor!$E$620))+1)/2)</f>
        <v/>
      </c>
      <c r="H40" s="7" t="str">
        <f>IF(_motor!$B$620=0,"",SUMPRODUCT(_motor!$B$586:$B$665*(_motor!$F$586:$F$665&gt;_motor!$F$620))+(SUMPRODUCT(_motor!$B$586:$B$665*(_motor!$F$586:$F$665=_motor!$F$620))+1)/2)</f>
        <v/>
      </c>
      <c r="I40" s="2" t="str">
        <f>IF(_motor!$B$620=0,"",IF(AND(ABS(_motor!$E$620-_motor!$B$669)&lt;=_motor!$B$677+0.000000001,ABS(_motor!$F$620-_motor!$B$669)&lt;=_motor!$B$677+0.000000001),"5 · Pelotón (no concluyente)",IF(AND(_motor!$E$620&gt;=_motor!$B$669,_motor!$F$620&lt;_motor!$B$669),"1 · Entrada / determinante",IF(AND(_motor!$E$620&gt;=_motor!$B$669,_motor!$F$620&gt;=_motor!$B$669),"2 · Intermedia / de enlace",IF(AND(_motor!$E$620&lt;_motor!$B$669,_motor!$F$620&gt;=_motor!$B$669),"3 · Resultado","4 · Excluida / autónoma")))))</f>
        <v/>
      </c>
      <c r="J40" s="2" t="str">
        <f>IF(_motor!$B$620=0,"",IF(AND(ABS(_motor!$E$620-_motor!$B$669)&lt;=_motor!$B$677+0.000000001,ABS(_motor!$F$620-_motor!$B$669)&lt;=_motor!$B$677+0.000000001),"Reguladora",IF(AND(_motor!$E$620&gt;=_motor!$B$669,_motor!$F$620&lt;0.5*_motor!$B$669),"Determinante / entorno",IF(AND(_motor!$E$620&gt;=_motor!$B$669,_motor!$F$620&lt;_motor!$B$669),"Palanca secundaria",IF(AND(_motor!$E$620&gt;=_motor!$B$669,_motor!$F$620&gt;=_motor!$B$669),"Clave / de enlace",IF(AND(_motor!$F$620&gt;=_motor!$B$669,_motor!$E$620&gt;=0.5*_motor!$B$669),"Objetivo",IF(_motor!$F$620&gt;=_motor!$B$669,"Resultado","Autónoma")))))))</f>
        <v/>
      </c>
      <c r="K40" s="2" t="str">
        <f>IF(_motor!$B$620=0,"",_motor!$M$620-_motor!$O$620)</f>
        <v/>
      </c>
      <c r="L40" s="2" t="str">
        <f>IF(_motor!$B$620=0,"",IF(_motor!$O$620&lt;_motor!$M$620-2,"▲ VARIABLE OCULTA (sube "&amp;TEXT(_motor!$M$620-_motor!$O$620,"0")&amp;" puestos)",IF(_motor!$O$620&gt;_motor!$M$620+2,"▼ Sobrevalorada en directo (baja "&amp;TEXT(_motor!$O$620-_motor!$M$620,"0")&amp;")","= Estable")))</f>
        <v/>
      </c>
    </row>
    <row r="41" spans="1:12" x14ac:dyDescent="0.2">
      <c r="A41" s="6" t="str">
        <f>IF(_motor!$B$621=0,"",'02 · Variables'!$B$42)</f>
        <v/>
      </c>
      <c r="B41" s="2" t="str">
        <f>IF(_motor!$B$621=0,"",'02 · Variables'!$C$42)</f>
        <v/>
      </c>
      <c r="C41" s="9" t="str">
        <f>IF(_motor!$B$621=0,"",_motor!$E$621)</f>
        <v/>
      </c>
      <c r="D41" s="9" t="str">
        <f>IF(_motor!$B$621=0,"",_motor!$F$621)</f>
        <v/>
      </c>
      <c r="E41" s="8" t="str">
        <f>IF(OR(_motor!$B$621=0,_motor!$B$673=0),"",_motor!$E$621/_motor!$B$673)</f>
        <v/>
      </c>
      <c r="F41" s="8" t="str">
        <f>IF(OR(_motor!$B$621=0,_motor!$B$673=0),"",_motor!$F$621/_motor!$B$673)</f>
        <v/>
      </c>
      <c r="G41" s="7" t="str">
        <f>IF(_motor!$B$621=0,"",SUMPRODUCT(_motor!$B$586:$B$665*(_motor!$E$586:$E$665&gt;_motor!$E$621))+(SUMPRODUCT(_motor!$B$586:$B$665*(_motor!$E$586:$E$665=_motor!$E$621))+1)/2)</f>
        <v/>
      </c>
      <c r="H41" s="7" t="str">
        <f>IF(_motor!$B$621=0,"",SUMPRODUCT(_motor!$B$586:$B$665*(_motor!$F$586:$F$665&gt;_motor!$F$621))+(SUMPRODUCT(_motor!$B$586:$B$665*(_motor!$F$586:$F$665=_motor!$F$621))+1)/2)</f>
        <v/>
      </c>
      <c r="I41" s="2" t="str">
        <f>IF(_motor!$B$621=0,"",IF(AND(ABS(_motor!$E$621-_motor!$B$669)&lt;=_motor!$B$677+0.000000001,ABS(_motor!$F$621-_motor!$B$669)&lt;=_motor!$B$677+0.000000001),"5 · Pelotón (no concluyente)",IF(AND(_motor!$E$621&gt;=_motor!$B$669,_motor!$F$621&lt;_motor!$B$669),"1 · Entrada / determinante",IF(AND(_motor!$E$621&gt;=_motor!$B$669,_motor!$F$621&gt;=_motor!$B$669),"2 · Intermedia / de enlace",IF(AND(_motor!$E$621&lt;_motor!$B$669,_motor!$F$621&gt;=_motor!$B$669),"3 · Resultado","4 · Excluida / autónoma")))))</f>
        <v/>
      </c>
      <c r="J41" s="2" t="str">
        <f>IF(_motor!$B$621=0,"",IF(AND(ABS(_motor!$E$621-_motor!$B$669)&lt;=_motor!$B$677+0.000000001,ABS(_motor!$F$621-_motor!$B$669)&lt;=_motor!$B$677+0.000000001),"Reguladora",IF(AND(_motor!$E$621&gt;=_motor!$B$669,_motor!$F$621&lt;0.5*_motor!$B$669),"Determinante / entorno",IF(AND(_motor!$E$621&gt;=_motor!$B$669,_motor!$F$621&lt;_motor!$B$669),"Palanca secundaria",IF(AND(_motor!$E$621&gt;=_motor!$B$669,_motor!$F$621&gt;=_motor!$B$669),"Clave / de enlace",IF(AND(_motor!$F$621&gt;=_motor!$B$669,_motor!$E$621&gt;=0.5*_motor!$B$669),"Objetivo",IF(_motor!$F$621&gt;=_motor!$B$669,"Resultado","Autónoma")))))))</f>
        <v/>
      </c>
      <c r="K41" s="2" t="str">
        <f>IF(_motor!$B$621=0,"",_motor!$M$621-_motor!$O$621)</f>
        <v/>
      </c>
      <c r="L41" s="2" t="str">
        <f>IF(_motor!$B$621=0,"",IF(_motor!$O$621&lt;_motor!$M$621-2,"▲ VARIABLE OCULTA (sube "&amp;TEXT(_motor!$M$621-_motor!$O$621,"0")&amp;" puestos)",IF(_motor!$O$621&gt;_motor!$M$621+2,"▼ Sobrevalorada en directo (baja "&amp;TEXT(_motor!$O$621-_motor!$M$621,"0")&amp;")","= Estable")))</f>
        <v/>
      </c>
    </row>
    <row r="42" spans="1:12" x14ac:dyDescent="0.2">
      <c r="A42" s="6" t="str">
        <f>IF(_motor!$B$622=0,"",'02 · Variables'!$B$43)</f>
        <v/>
      </c>
      <c r="B42" s="2" t="str">
        <f>IF(_motor!$B$622=0,"",'02 · Variables'!$C$43)</f>
        <v/>
      </c>
      <c r="C42" s="9" t="str">
        <f>IF(_motor!$B$622=0,"",_motor!$E$622)</f>
        <v/>
      </c>
      <c r="D42" s="9" t="str">
        <f>IF(_motor!$B$622=0,"",_motor!$F$622)</f>
        <v/>
      </c>
      <c r="E42" s="8" t="str">
        <f>IF(OR(_motor!$B$622=0,_motor!$B$673=0),"",_motor!$E$622/_motor!$B$673)</f>
        <v/>
      </c>
      <c r="F42" s="8" t="str">
        <f>IF(OR(_motor!$B$622=0,_motor!$B$673=0),"",_motor!$F$622/_motor!$B$673)</f>
        <v/>
      </c>
      <c r="G42" s="7" t="str">
        <f>IF(_motor!$B$622=0,"",SUMPRODUCT(_motor!$B$586:$B$665*(_motor!$E$586:$E$665&gt;_motor!$E$622))+(SUMPRODUCT(_motor!$B$586:$B$665*(_motor!$E$586:$E$665=_motor!$E$622))+1)/2)</f>
        <v/>
      </c>
      <c r="H42" s="7" t="str">
        <f>IF(_motor!$B$622=0,"",SUMPRODUCT(_motor!$B$586:$B$665*(_motor!$F$586:$F$665&gt;_motor!$F$622))+(SUMPRODUCT(_motor!$B$586:$B$665*(_motor!$F$586:$F$665=_motor!$F$622))+1)/2)</f>
        <v/>
      </c>
      <c r="I42" s="2" t="str">
        <f>IF(_motor!$B$622=0,"",IF(AND(ABS(_motor!$E$622-_motor!$B$669)&lt;=_motor!$B$677+0.000000001,ABS(_motor!$F$622-_motor!$B$669)&lt;=_motor!$B$677+0.000000001),"5 · Pelotón (no concluyente)",IF(AND(_motor!$E$622&gt;=_motor!$B$669,_motor!$F$622&lt;_motor!$B$669),"1 · Entrada / determinante",IF(AND(_motor!$E$622&gt;=_motor!$B$669,_motor!$F$622&gt;=_motor!$B$669),"2 · Intermedia / de enlace",IF(AND(_motor!$E$622&lt;_motor!$B$669,_motor!$F$622&gt;=_motor!$B$669),"3 · Resultado","4 · Excluida / autónoma")))))</f>
        <v/>
      </c>
      <c r="J42" s="2" t="str">
        <f>IF(_motor!$B$622=0,"",IF(AND(ABS(_motor!$E$622-_motor!$B$669)&lt;=_motor!$B$677+0.000000001,ABS(_motor!$F$622-_motor!$B$669)&lt;=_motor!$B$677+0.000000001),"Reguladora",IF(AND(_motor!$E$622&gt;=_motor!$B$669,_motor!$F$622&lt;0.5*_motor!$B$669),"Determinante / entorno",IF(AND(_motor!$E$622&gt;=_motor!$B$669,_motor!$F$622&lt;_motor!$B$669),"Palanca secundaria",IF(AND(_motor!$E$622&gt;=_motor!$B$669,_motor!$F$622&gt;=_motor!$B$669),"Clave / de enlace",IF(AND(_motor!$F$622&gt;=_motor!$B$669,_motor!$E$622&gt;=0.5*_motor!$B$669),"Objetivo",IF(_motor!$F$622&gt;=_motor!$B$669,"Resultado","Autónoma")))))))</f>
        <v/>
      </c>
      <c r="K42" s="2" t="str">
        <f>IF(_motor!$B$622=0,"",_motor!$M$622-_motor!$O$622)</f>
        <v/>
      </c>
      <c r="L42" s="2" t="str">
        <f>IF(_motor!$B$622=0,"",IF(_motor!$O$622&lt;_motor!$M$622-2,"▲ VARIABLE OCULTA (sube "&amp;TEXT(_motor!$M$622-_motor!$O$622,"0")&amp;" puestos)",IF(_motor!$O$622&gt;_motor!$M$622+2,"▼ Sobrevalorada en directo (baja "&amp;TEXT(_motor!$O$622-_motor!$M$622,"0")&amp;")","= Estable")))</f>
        <v/>
      </c>
    </row>
    <row r="43" spans="1:12" x14ac:dyDescent="0.2">
      <c r="A43" s="6" t="str">
        <f>IF(_motor!$B$623=0,"",'02 · Variables'!$B$44)</f>
        <v/>
      </c>
      <c r="B43" s="2" t="str">
        <f>IF(_motor!$B$623=0,"",'02 · Variables'!$C$44)</f>
        <v/>
      </c>
      <c r="C43" s="9" t="str">
        <f>IF(_motor!$B$623=0,"",_motor!$E$623)</f>
        <v/>
      </c>
      <c r="D43" s="9" t="str">
        <f>IF(_motor!$B$623=0,"",_motor!$F$623)</f>
        <v/>
      </c>
      <c r="E43" s="8" t="str">
        <f>IF(OR(_motor!$B$623=0,_motor!$B$673=0),"",_motor!$E$623/_motor!$B$673)</f>
        <v/>
      </c>
      <c r="F43" s="8" t="str">
        <f>IF(OR(_motor!$B$623=0,_motor!$B$673=0),"",_motor!$F$623/_motor!$B$673)</f>
        <v/>
      </c>
      <c r="G43" s="7" t="str">
        <f>IF(_motor!$B$623=0,"",SUMPRODUCT(_motor!$B$586:$B$665*(_motor!$E$586:$E$665&gt;_motor!$E$623))+(SUMPRODUCT(_motor!$B$586:$B$665*(_motor!$E$586:$E$665=_motor!$E$623))+1)/2)</f>
        <v/>
      </c>
      <c r="H43" s="7" t="str">
        <f>IF(_motor!$B$623=0,"",SUMPRODUCT(_motor!$B$586:$B$665*(_motor!$F$586:$F$665&gt;_motor!$F$623))+(SUMPRODUCT(_motor!$B$586:$B$665*(_motor!$F$586:$F$665=_motor!$F$623))+1)/2)</f>
        <v/>
      </c>
      <c r="I43" s="2" t="str">
        <f>IF(_motor!$B$623=0,"",IF(AND(ABS(_motor!$E$623-_motor!$B$669)&lt;=_motor!$B$677+0.000000001,ABS(_motor!$F$623-_motor!$B$669)&lt;=_motor!$B$677+0.000000001),"5 · Pelotón (no concluyente)",IF(AND(_motor!$E$623&gt;=_motor!$B$669,_motor!$F$623&lt;_motor!$B$669),"1 · Entrada / determinante",IF(AND(_motor!$E$623&gt;=_motor!$B$669,_motor!$F$623&gt;=_motor!$B$669),"2 · Intermedia / de enlace",IF(AND(_motor!$E$623&lt;_motor!$B$669,_motor!$F$623&gt;=_motor!$B$669),"3 · Resultado","4 · Excluida / autónoma")))))</f>
        <v/>
      </c>
      <c r="J43" s="2" t="str">
        <f>IF(_motor!$B$623=0,"",IF(AND(ABS(_motor!$E$623-_motor!$B$669)&lt;=_motor!$B$677+0.000000001,ABS(_motor!$F$623-_motor!$B$669)&lt;=_motor!$B$677+0.000000001),"Reguladora",IF(AND(_motor!$E$623&gt;=_motor!$B$669,_motor!$F$623&lt;0.5*_motor!$B$669),"Determinante / entorno",IF(AND(_motor!$E$623&gt;=_motor!$B$669,_motor!$F$623&lt;_motor!$B$669),"Palanca secundaria",IF(AND(_motor!$E$623&gt;=_motor!$B$669,_motor!$F$623&gt;=_motor!$B$669),"Clave / de enlace",IF(AND(_motor!$F$623&gt;=_motor!$B$669,_motor!$E$623&gt;=0.5*_motor!$B$669),"Objetivo",IF(_motor!$F$623&gt;=_motor!$B$669,"Resultado","Autónoma")))))))</f>
        <v/>
      </c>
      <c r="K43" s="2" t="str">
        <f>IF(_motor!$B$623=0,"",_motor!$M$623-_motor!$O$623)</f>
        <v/>
      </c>
      <c r="L43" s="2" t="str">
        <f>IF(_motor!$B$623=0,"",IF(_motor!$O$623&lt;_motor!$M$623-2,"▲ VARIABLE OCULTA (sube "&amp;TEXT(_motor!$M$623-_motor!$O$623,"0")&amp;" puestos)",IF(_motor!$O$623&gt;_motor!$M$623+2,"▼ Sobrevalorada en directo (baja "&amp;TEXT(_motor!$O$623-_motor!$M$623,"0")&amp;")","= Estable")))</f>
        <v/>
      </c>
    </row>
    <row r="44" spans="1:12" x14ac:dyDescent="0.2">
      <c r="A44" s="6" t="str">
        <f>IF(_motor!$B$624=0,"",'02 · Variables'!$B$45)</f>
        <v/>
      </c>
      <c r="B44" s="2" t="str">
        <f>IF(_motor!$B$624=0,"",'02 · Variables'!$C$45)</f>
        <v/>
      </c>
      <c r="C44" s="9" t="str">
        <f>IF(_motor!$B$624=0,"",_motor!$E$624)</f>
        <v/>
      </c>
      <c r="D44" s="9" t="str">
        <f>IF(_motor!$B$624=0,"",_motor!$F$624)</f>
        <v/>
      </c>
      <c r="E44" s="8" t="str">
        <f>IF(OR(_motor!$B$624=0,_motor!$B$673=0),"",_motor!$E$624/_motor!$B$673)</f>
        <v/>
      </c>
      <c r="F44" s="8" t="str">
        <f>IF(OR(_motor!$B$624=0,_motor!$B$673=0),"",_motor!$F$624/_motor!$B$673)</f>
        <v/>
      </c>
      <c r="G44" s="7" t="str">
        <f>IF(_motor!$B$624=0,"",SUMPRODUCT(_motor!$B$586:$B$665*(_motor!$E$586:$E$665&gt;_motor!$E$624))+(SUMPRODUCT(_motor!$B$586:$B$665*(_motor!$E$586:$E$665=_motor!$E$624))+1)/2)</f>
        <v/>
      </c>
      <c r="H44" s="7" t="str">
        <f>IF(_motor!$B$624=0,"",SUMPRODUCT(_motor!$B$586:$B$665*(_motor!$F$586:$F$665&gt;_motor!$F$624))+(SUMPRODUCT(_motor!$B$586:$B$665*(_motor!$F$586:$F$665=_motor!$F$624))+1)/2)</f>
        <v/>
      </c>
      <c r="I44" s="2" t="str">
        <f>IF(_motor!$B$624=0,"",IF(AND(ABS(_motor!$E$624-_motor!$B$669)&lt;=_motor!$B$677+0.000000001,ABS(_motor!$F$624-_motor!$B$669)&lt;=_motor!$B$677+0.000000001),"5 · Pelotón (no concluyente)",IF(AND(_motor!$E$624&gt;=_motor!$B$669,_motor!$F$624&lt;_motor!$B$669),"1 · Entrada / determinante",IF(AND(_motor!$E$624&gt;=_motor!$B$669,_motor!$F$624&gt;=_motor!$B$669),"2 · Intermedia / de enlace",IF(AND(_motor!$E$624&lt;_motor!$B$669,_motor!$F$624&gt;=_motor!$B$669),"3 · Resultado","4 · Excluida / autónoma")))))</f>
        <v/>
      </c>
      <c r="J44" s="2" t="str">
        <f>IF(_motor!$B$624=0,"",IF(AND(ABS(_motor!$E$624-_motor!$B$669)&lt;=_motor!$B$677+0.000000001,ABS(_motor!$F$624-_motor!$B$669)&lt;=_motor!$B$677+0.000000001),"Reguladora",IF(AND(_motor!$E$624&gt;=_motor!$B$669,_motor!$F$624&lt;0.5*_motor!$B$669),"Determinante / entorno",IF(AND(_motor!$E$624&gt;=_motor!$B$669,_motor!$F$624&lt;_motor!$B$669),"Palanca secundaria",IF(AND(_motor!$E$624&gt;=_motor!$B$669,_motor!$F$624&gt;=_motor!$B$669),"Clave / de enlace",IF(AND(_motor!$F$624&gt;=_motor!$B$669,_motor!$E$624&gt;=0.5*_motor!$B$669),"Objetivo",IF(_motor!$F$624&gt;=_motor!$B$669,"Resultado","Autónoma")))))))</f>
        <v/>
      </c>
      <c r="K44" s="2" t="str">
        <f>IF(_motor!$B$624=0,"",_motor!$M$624-_motor!$O$624)</f>
        <v/>
      </c>
      <c r="L44" s="2" t="str">
        <f>IF(_motor!$B$624=0,"",IF(_motor!$O$624&lt;_motor!$M$624-2,"▲ VARIABLE OCULTA (sube "&amp;TEXT(_motor!$M$624-_motor!$O$624,"0")&amp;" puestos)",IF(_motor!$O$624&gt;_motor!$M$624+2,"▼ Sobrevalorada en directo (baja "&amp;TEXT(_motor!$O$624-_motor!$M$624,"0")&amp;")","= Estable")))</f>
        <v/>
      </c>
    </row>
    <row r="45" spans="1:12" x14ac:dyDescent="0.2">
      <c r="A45" s="6" t="str">
        <f>IF(_motor!$B$625=0,"",'02 · Variables'!$B$46)</f>
        <v/>
      </c>
      <c r="B45" s="2" t="str">
        <f>IF(_motor!$B$625=0,"",'02 · Variables'!$C$46)</f>
        <v/>
      </c>
      <c r="C45" s="9" t="str">
        <f>IF(_motor!$B$625=0,"",_motor!$E$625)</f>
        <v/>
      </c>
      <c r="D45" s="9" t="str">
        <f>IF(_motor!$B$625=0,"",_motor!$F$625)</f>
        <v/>
      </c>
      <c r="E45" s="8" t="str">
        <f>IF(OR(_motor!$B$625=0,_motor!$B$673=0),"",_motor!$E$625/_motor!$B$673)</f>
        <v/>
      </c>
      <c r="F45" s="8" t="str">
        <f>IF(OR(_motor!$B$625=0,_motor!$B$673=0),"",_motor!$F$625/_motor!$B$673)</f>
        <v/>
      </c>
      <c r="G45" s="7" t="str">
        <f>IF(_motor!$B$625=0,"",SUMPRODUCT(_motor!$B$586:$B$665*(_motor!$E$586:$E$665&gt;_motor!$E$625))+(SUMPRODUCT(_motor!$B$586:$B$665*(_motor!$E$586:$E$665=_motor!$E$625))+1)/2)</f>
        <v/>
      </c>
      <c r="H45" s="7" t="str">
        <f>IF(_motor!$B$625=0,"",SUMPRODUCT(_motor!$B$586:$B$665*(_motor!$F$586:$F$665&gt;_motor!$F$625))+(SUMPRODUCT(_motor!$B$586:$B$665*(_motor!$F$586:$F$665=_motor!$F$625))+1)/2)</f>
        <v/>
      </c>
      <c r="I45" s="2" t="str">
        <f>IF(_motor!$B$625=0,"",IF(AND(ABS(_motor!$E$625-_motor!$B$669)&lt;=_motor!$B$677+0.000000001,ABS(_motor!$F$625-_motor!$B$669)&lt;=_motor!$B$677+0.000000001),"5 · Pelotón (no concluyente)",IF(AND(_motor!$E$625&gt;=_motor!$B$669,_motor!$F$625&lt;_motor!$B$669),"1 · Entrada / determinante",IF(AND(_motor!$E$625&gt;=_motor!$B$669,_motor!$F$625&gt;=_motor!$B$669),"2 · Intermedia / de enlace",IF(AND(_motor!$E$625&lt;_motor!$B$669,_motor!$F$625&gt;=_motor!$B$669),"3 · Resultado","4 · Excluida / autónoma")))))</f>
        <v/>
      </c>
      <c r="J45" s="2" t="str">
        <f>IF(_motor!$B$625=0,"",IF(AND(ABS(_motor!$E$625-_motor!$B$669)&lt;=_motor!$B$677+0.000000001,ABS(_motor!$F$625-_motor!$B$669)&lt;=_motor!$B$677+0.000000001),"Reguladora",IF(AND(_motor!$E$625&gt;=_motor!$B$669,_motor!$F$625&lt;0.5*_motor!$B$669),"Determinante / entorno",IF(AND(_motor!$E$625&gt;=_motor!$B$669,_motor!$F$625&lt;_motor!$B$669),"Palanca secundaria",IF(AND(_motor!$E$625&gt;=_motor!$B$669,_motor!$F$625&gt;=_motor!$B$669),"Clave / de enlace",IF(AND(_motor!$F$625&gt;=_motor!$B$669,_motor!$E$625&gt;=0.5*_motor!$B$669),"Objetivo",IF(_motor!$F$625&gt;=_motor!$B$669,"Resultado","Autónoma")))))))</f>
        <v/>
      </c>
      <c r="K45" s="2" t="str">
        <f>IF(_motor!$B$625=0,"",_motor!$M$625-_motor!$O$625)</f>
        <v/>
      </c>
      <c r="L45" s="2" t="str">
        <f>IF(_motor!$B$625=0,"",IF(_motor!$O$625&lt;_motor!$M$625-2,"▲ VARIABLE OCULTA (sube "&amp;TEXT(_motor!$M$625-_motor!$O$625,"0")&amp;" puestos)",IF(_motor!$O$625&gt;_motor!$M$625+2,"▼ Sobrevalorada en directo (baja "&amp;TEXT(_motor!$O$625-_motor!$M$625,"0")&amp;")","= Estable")))</f>
        <v/>
      </c>
    </row>
    <row r="46" spans="1:12" x14ac:dyDescent="0.2">
      <c r="A46" s="6" t="str">
        <f>IF(_motor!$B$626=0,"",'02 · Variables'!$B$47)</f>
        <v/>
      </c>
      <c r="B46" s="2" t="str">
        <f>IF(_motor!$B$626=0,"",'02 · Variables'!$C$47)</f>
        <v/>
      </c>
      <c r="C46" s="9" t="str">
        <f>IF(_motor!$B$626=0,"",_motor!$E$626)</f>
        <v/>
      </c>
      <c r="D46" s="9" t="str">
        <f>IF(_motor!$B$626=0,"",_motor!$F$626)</f>
        <v/>
      </c>
      <c r="E46" s="8" t="str">
        <f>IF(OR(_motor!$B$626=0,_motor!$B$673=0),"",_motor!$E$626/_motor!$B$673)</f>
        <v/>
      </c>
      <c r="F46" s="8" t="str">
        <f>IF(OR(_motor!$B$626=0,_motor!$B$673=0),"",_motor!$F$626/_motor!$B$673)</f>
        <v/>
      </c>
      <c r="G46" s="7" t="str">
        <f>IF(_motor!$B$626=0,"",SUMPRODUCT(_motor!$B$586:$B$665*(_motor!$E$586:$E$665&gt;_motor!$E$626))+(SUMPRODUCT(_motor!$B$586:$B$665*(_motor!$E$586:$E$665=_motor!$E$626))+1)/2)</f>
        <v/>
      </c>
      <c r="H46" s="7" t="str">
        <f>IF(_motor!$B$626=0,"",SUMPRODUCT(_motor!$B$586:$B$665*(_motor!$F$586:$F$665&gt;_motor!$F$626))+(SUMPRODUCT(_motor!$B$586:$B$665*(_motor!$F$586:$F$665=_motor!$F$626))+1)/2)</f>
        <v/>
      </c>
      <c r="I46" s="2" t="str">
        <f>IF(_motor!$B$626=0,"",IF(AND(ABS(_motor!$E$626-_motor!$B$669)&lt;=_motor!$B$677+0.000000001,ABS(_motor!$F$626-_motor!$B$669)&lt;=_motor!$B$677+0.000000001),"5 · Pelotón (no concluyente)",IF(AND(_motor!$E$626&gt;=_motor!$B$669,_motor!$F$626&lt;_motor!$B$669),"1 · Entrada / determinante",IF(AND(_motor!$E$626&gt;=_motor!$B$669,_motor!$F$626&gt;=_motor!$B$669),"2 · Intermedia / de enlace",IF(AND(_motor!$E$626&lt;_motor!$B$669,_motor!$F$626&gt;=_motor!$B$669),"3 · Resultado","4 · Excluida / autónoma")))))</f>
        <v/>
      </c>
      <c r="J46" s="2" t="str">
        <f>IF(_motor!$B$626=0,"",IF(AND(ABS(_motor!$E$626-_motor!$B$669)&lt;=_motor!$B$677+0.000000001,ABS(_motor!$F$626-_motor!$B$669)&lt;=_motor!$B$677+0.000000001),"Reguladora",IF(AND(_motor!$E$626&gt;=_motor!$B$669,_motor!$F$626&lt;0.5*_motor!$B$669),"Determinante / entorno",IF(AND(_motor!$E$626&gt;=_motor!$B$669,_motor!$F$626&lt;_motor!$B$669),"Palanca secundaria",IF(AND(_motor!$E$626&gt;=_motor!$B$669,_motor!$F$626&gt;=_motor!$B$669),"Clave / de enlace",IF(AND(_motor!$F$626&gt;=_motor!$B$669,_motor!$E$626&gt;=0.5*_motor!$B$669),"Objetivo",IF(_motor!$F$626&gt;=_motor!$B$669,"Resultado","Autónoma")))))))</f>
        <v/>
      </c>
      <c r="K46" s="2" t="str">
        <f>IF(_motor!$B$626=0,"",_motor!$M$626-_motor!$O$626)</f>
        <v/>
      </c>
      <c r="L46" s="2" t="str">
        <f>IF(_motor!$B$626=0,"",IF(_motor!$O$626&lt;_motor!$M$626-2,"▲ VARIABLE OCULTA (sube "&amp;TEXT(_motor!$M$626-_motor!$O$626,"0")&amp;" puestos)",IF(_motor!$O$626&gt;_motor!$M$626+2,"▼ Sobrevalorada en directo (baja "&amp;TEXT(_motor!$O$626-_motor!$M$626,"0")&amp;")","= Estable")))</f>
        <v/>
      </c>
    </row>
    <row r="47" spans="1:12" x14ac:dyDescent="0.2">
      <c r="A47" s="6" t="str">
        <f>IF(_motor!$B$627=0,"",'02 · Variables'!$B$48)</f>
        <v/>
      </c>
      <c r="B47" s="2" t="str">
        <f>IF(_motor!$B$627=0,"",'02 · Variables'!$C$48)</f>
        <v/>
      </c>
      <c r="C47" s="9" t="str">
        <f>IF(_motor!$B$627=0,"",_motor!$E$627)</f>
        <v/>
      </c>
      <c r="D47" s="9" t="str">
        <f>IF(_motor!$B$627=0,"",_motor!$F$627)</f>
        <v/>
      </c>
      <c r="E47" s="8" t="str">
        <f>IF(OR(_motor!$B$627=0,_motor!$B$673=0),"",_motor!$E$627/_motor!$B$673)</f>
        <v/>
      </c>
      <c r="F47" s="8" t="str">
        <f>IF(OR(_motor!$B$627=0,_motor!$B$673=0),"",_motor!$F$627/_motor!$B$673)</f>
        <v/>
      </c>
      <c r="G47" s="7" t="str">
        <f>IF(_motor!$B$627=0,"",SUMPRODUCT(_motor!$B$586:$B$665*(_motor!$E$586:$E$665&gt;_motor!$E$627))+(SUMPRODUCT(_motor!$B$586:$B$665*(_motor!$E$586:$E$665=_motor!$E$627))+1)/2)</f>
        <v/>
      </c>
      <c r="H47" s="7" t="str">
        <f>IF(_motor!$B$627=0,"",SUMPRODUCT(_motor!$B$586:$B$665*(_motor!$F$586:$F$665&gt;_motor!$F$627))+(SUMPRODUCT(_motor!$B$586:$B$665*(_motor!$F$586:$F$665=_motor!$F$627))+1)/2)</f>
        <v/>
      </c>
      <c r="I47" s="2" t="str">
        <f>IF(_motor!$B$627=0,"",IF(AND(ABS(_motor!$E$627-_motor!$B$669)&lt;=_motor!$B$677+0.000000001,ABS(_motor!$F$627-_motor!$B$669)&lt;=_motor!$B$677+0.000000001),"5 · Pelotón (no concluyente)",IF(AND(_motor!$E$627&gt;=_motor!$B$669,_motor!$F$627&lt;_motor!$B$669),"1 · Entrada / determinante",IF(AND(_motor!$E$627&gt;=_motor!$B$669,_motor!$F$627&gt;=_motor!$B$669),"2 · Intermedia / de enlace",IF(AND(_motor!$E$627&lt;_motor!$B$669,_motor!$F$627&gt;=_motor!$B$669),"3 · Resultado","4 · Excluida / autónoma")))))</f>
        <v/>
      </c>
      <c r="J47" s="2" t="str">
        <f>IF(_motor!$B$627=0,"",IF(AND(ABS(_motor!$E$627-_motor!$B$669)&lt;=_motor!$B$677+0.000000001,ABS(_motor!$F$627-_motor!$B$669)&lt;=_motor!$B$677+0.000000001),"Reguladora",IF(AND(_motor!$E$627&gt;=_motor!$B$669,_motor!$F$627&lt;0.5*_motor!$B$669),"Determinante / entorno",IF(AND(_motor!$E$627&gt;=_motor!$B$669,_motor!$F$627&lt;_motor!$B$669),"Palanca secundaria",IF(AND(_motor!$E$627&gt;=_motor!$B$669,_motor!$F$627&gt;=_motor!$B$669),"Clave / de enlace",IF(AND(_motor!$F$627&gt;=_motor!$B$669,_motor!$E$627&gt;=0.5*_motor!$B$669),"Objetivo",IF(_motor!$F$627&gt;=_motor!$B$669,"Resultado","Autónoma")))))))</f>
        <v/>
      </c>
      <c r="K47" s="2" t="str">
        <f>IF(_motor!$B$627=0,"",_motor!$M$627-_motor!$O$627)</f>
        <v/>
      </c>
      <c r="L47" s="2" t="str">
        <f>IF(_motor!$B$627=0,"",IF(_motor!$O$627&lt;_motor!$M$627-2,"▲ VARIABLE OCULTA (sube "&amp;TEXT(_motor!$M$627-_motor!$O$627,"0")&amp;" puestos)",IF(_motor!$O$627&gt;_motor!$M$627+2,"▼ Sobrevalorada en directo (baja "&amp;TEXT(_motor!$O$627-_motor!$M$627,"0")&amp;")","= Estable")))</f>
        <v/>
      </c>
    </row>
    <row r="48" spans="1:12" x14ac:dyDescent="0.2">
      <c r="A48" s="6" t="str">
        <f>IF(_motor!$B$628=0,"",'02 · Variables'!$B$49)</f>
        <v/>
      </c>
      <c r="B48" s="2" t="str">
        <f>IF(_motor!$B$628=0,"",'02 · Variables'!$C$49)</f>
        <v/>
      </c>
      <c r="C48" s="9" t="str">
        <f>IF(_motor!$B$628=0,"",_motor!$E$628)</f>
        <v/>
      </c>
      <c r="D48" s="9" t="str">
        <f>IF(_motor!$B$628=0,"",_motor!$F$628)</f>
        <v/>
      </c>
      <c r="E48" s="8" t="str">
        <f>IF(OR(_motor!$B$628=0,_motor!$B$673=0),"",_motor!$E$628/_motor!$B$673)</f>
        <v/>
      </c>
      <c r="F48" s="8" t="str">
        <f>IF(OR(_motor!$B$628=0,_motor!$B$673=0),"",_motor!$F$628/_motor!$B$673)</f>
        <v/>
      </c>
      <c r="G48" s="7" t="str">
        <f>IF(_motor!$B$628=0,"",SUMPRODUCT(_motor!$B$586:$B$665*(_motor!$E$586:$E$665&gt;_motor!$E$628))+(SUMPRODUCT(_motor!$B$586:$B$665*(_motor!$E$586:$E$665=_motor!$E$628))+1)/2)</f>
        <v/>
      </c>
      <c r="H48" s="7" t="str">
        <f>IF(_motor!$B$628=0,"",SUMPRODUCT(_motor!$B$586:$B$665*(_motor!$F$586:$F$665&gt;_motor!$F$628))+(SUMPRODUCT(_motor!$B$586:$B$665*(_motor!$F$586:$F$665=_motor!$F$628))+1)/2)</f>
        <v/>
      </c>
      <c r="I48" s="2" t="str">
        <f>IF(_motor!$B$628=0,"",IF(AND(ABS(_motor!$E$628-_motor!$B$669)&lt;=_motor!$B$677+0.000000001,ABS(_motor!$F$628-_motor!$B$669)&lt;=_motor!$B$677+0.000000001),"5 · Pelotón (no concluyente)",IF(AND(_motor!$E$628&gt;=_motor!$B$669,_motor!$F$628&lt;_motor!$B$669),"1 · Entrada / determinante",IF(AND(_motor!$E$628&gt;=_motor!$B$669,_motor!$F$628&gt;=_motor!$B$669),"2 · Intermedia / de enlace",IF(AND(_motor!$E$628&lt;_motor!$B$669,_motor!$F$628&gt;=_motor!$B$669),"3 · Resultado","4 · Excluida / autónoma")))))</f>
        <v/>
      </c>
      <c r="J48" s="2" t="str">
        <f>IF(_motor!$B$628=0,"",IF(AND(ABS(_motor!$E$628-_motor!$B$669)&lt;=_motor!$B$677+0.000000001,ABS(_motor!$F$628-_motor!$B$669)&lt;=_motor!$B$677+0.000000001),"Reguladora",IF(AND(_motor!$E$628&gt;=_motor!$B$669,_motor!$F$628&lt;0.5*_motor!$B$669),"Determinante / entorno",IF(AND(_motor!$E$628&gt;=_motor!$B$669,_motor!$F$628&lt;_motor!$B$669),"Palanca secundaria",IF(AND(_motor!$E$628&gt;=_motor!$B$669,_motor!$F$628&gt;=_motor!$B$669),"Clave / de enlace",IF(AND(_motor!$F$628&gt;=_motor!$B$669,_motor!$E$628&gt;=0.5*_motor!$B$669),"Objetivo",IF(_motor!$F$628&gt;=_motor!$B$669,"Resultado","Autónoma")))))))</f>
        <v/>
      </c>
      <c r="K48" s="2" t="str">
        <f>IF(_motor!$B$628=0,"",_motor!$M$628-_motor!$O$628)</f>
        <v/>
      </c>
      <c r="L48" s="2" t="str">
        <f>IF(_motor!$B$628=0,"",IF(_motor!$O$628&lt;_motor!$M$628-2,"▲ VARIABLE OCULTA (sube "&amp;TEXT(_motor!$M$628-_motor!$O$628,"0")&amp;" puestos)",IF(_motor!$O$628&gt;_motor!$M$628+2,"▼ Sobrevalorada en directo (baja "&amp;TEXT(_motor!$O$628-_motor!$M$628,"0")&amp;")","= Estable")))</f>
        <v/>
      </c>
    </row>
    <row r="49" spans="1:12" x14ac:dyDescent="0.2">
      <c r="A49" s="6" t="str">
        <f>IF(_motor!$B$629=0,"",'02 · Variables'!$B$50)</f>
        <v/>
      </c>
      <c r="B49" s="2" t="str">
        <f>IF(_motor!$B$629=0,"",'02 · Variables'!$C$50)</f>
        <v/>
      </c>
      <c r="C49" s="9" t="str">
        <f>IF(_motor!$B$629=0,"",_motor!$E$629)</f>
        <v/>
      </c>
      <c r="D49" s="9" t="str">
        <f>IF(_motor!$B$629=0,"",_motor!$F$629)</f>
        <v/>
      </c>
      <c r="E49" s="8" t="str">
        <f>IF(OR(_motor!$B$629=0,_motor!$B$673=0),"",_motor!$E$629/_motor!$B$673)</f>
        <v/>
      </c>
      <c r="F49" s="8" t="str">
        <f>IF(OR(_motor!$B$629=0,_motor!$B$673=0),"",_motor!$F$629/_motor!$B$673)</f>
        <v/>
      </c>
      <c r="G49" s="7" t="str">
        <f>IF(_motor!$B$629=0,"",SUMPRODUCT(_motor!$B$586:$B$665*(_motor!$E$586:$E$665&gt;_motor!$E$629))+(SUMPRODUCT(_motor!$B$586:$B$665*(_motor!$E$586:$E$665=_motor!$E$629))+1)/2)</f>
        <v/>
      </c>
      <c r="H49" s="7" t="str">
        <f>IF(_motor!$B$629=0,"",SUMPRODUCT(_motor!$B$586:$B$665*(_motor!$F$586:$F$665&gt;_motor!$F$629))+(SUMPRODUCT(_motor!$B$586:$B$665*(_motor!$F$586:$F$665=_motor!$F$629))+1)/2)</f>
        <v/>
      </c>
      <c r="I49" s="2" t="str">
        <f>IF(_motor!$B$629=0,"",IF(AND(ABS(_motor!$E$629-_motor!$B$669)&lt;=_motor!$B$677+0.000000001,ABS(_motor!$F$629-_motor!$B$669)&lt;=_motor!$B$677+0.000000001),"5 · Pelotón (no concluyente)",IF(AND(_motor!$E$629&gt;=_motor!$B$669,_motor!$F$629&lt;_motor!$B$669),"1 · Entrada / determinante",IF(AND(_motor!$E$629&gt;=_motor!$B$669,_motor!$F$629&gt;=_motor!$B$669),"2 · Intermedia / de enlace",IF(AND(_motor!$E$629&lt;_motor!$B$669,_motor!$F$629&gt;=_motor!$B$669),"3 · Resultado","4 · Excluida / autónoma")))))</f>
        <v/>
      </c>
      <c r="J49" s="2" t="str">
        <f>IF(_motor!$B$629=0,"",IF(AND(ABS(_motor!$E$629-_motor!$B$669)&lt;=_motor!$B$677+0.000000001,ABS(_motor!$F$629-_motor!$B$669)&lt;=_motor!$B$677+0.000000001),"Reguladora",IF(AND(_motor!$E$629&gt;=_motor!$B$669,_motor!$F$629&lt;0.5*_motor!$B$669),"Determinante / entorno",IF(AND(_motor!$E$629&gt;=_motor!$B$669,_motor!$F$629&lt;_motor!$B$669),"Palanca secundaria",IF(AND(_motor!$E$629&gt;=_motor!$B$669,_motor!$F$629&gt;=_motor!$B$669),"Clave / de enlace",IF(AND(_motor!$F$629&gt;=_motor!$B$669,_motor!$E$629&gt;=0.5*_motor!$B$669),"Objetivo",IF(_motor!$F$629&gt;=_motor!$B$669,"Resultado","Autónoma")))))))</f>
        <v/>
      </c>
      <c r="K49" s="2" t="str">
        <f>IF(_motor!$B$629=0,"",_motor!$M$629-_motor!$O$629)</f>
        <v/>
      </c>
      <c r="L49" s="2" t="str">
        <f>IF(_motor!$B$629=0,"",IF(_motor!$O$629&lt;_motor!$M$629-2,"▲ VARIABLE OCULTA (sube "&amp;TEXT(_motor!$M$629-_motor!$O$629,"0")&amp;" puestos)",IF(_motor!$O$629&gt;_motor!$M$629+2,"▼ Sobrevalorada en directo (baja "&amp;TEXT(_motor!$O$629-_motor!$M$629,"0")&amp;")","= Estable")))</f>
        <v/>
      </c>
    </row>
    <row r="50" spans="1:12" x14ac:dyDescent="0.2">
      <c r="A50" s="6" t="str">
        <f>IF(_motor!$B$630=0,"",'02 · Variables'!$B$51)</f>
        <v/>
      </c>
      <c r="B50" s="2" t="str">
        <f>IF(_motor!$B$630=0,"",'02 · Variables'!$C$51)</f>
        <v/>
      </c>
      <c r="C50" s="9" t="str">
        <f>IF(_motor!$B$630=0,"",_motor!$E$630)</f>
        <v/>
      </c>
      <c r="D50" s="9" t="str">
        <f>IF(_motor!$B$630=0,"",_motor!$F$630)</f>
        <v/>
      </c>
      <c r="E50" s="8" t="str">
        <f>IF(OR(_motor!$B$630=0,_motor!$B$673=0),"",_motor!$E$630/_motor!$B$673)</f>
        <v/>
      </c>
      <c r="F50" s="8" t="str">
        <f>IF(OR(_motor!$B$630=0,_motor!$B$673=0),"",_motor!$F$630/_motor!$B$673)</f>
        <v/>
      </c>
      <c r="G50" s="7" t="str">
        <f>IF(_motor!$B$630=0,"",SUMPRODUCT(_motor!$B$586:$B$665*(_motor!$E$586:$E$665&gt;_motor!$E$630))+(SUMPRODUCT(_motor!$B$586:$B$665*(_motor!$E$586:$E$665=_motor!$E$630))+1)/2)</f>
        <v/>
      </c>
      <c r="H50" s="7" t="str">
        <f>IF(_motor!$B$630=0,"",SUMPRODUCT(_motor!$B$586:$B$665*(_motor!$F$586:$F$665&gt;_motor!$F$630))+(SUMPRODUCT(_motor!$B$586:$B$665*(_motor!$F$586:$F$665=_motor!$F$630))+1)/2)</f>
        <v/>
      </c>
      <c r="I50" s="2" t="str">
        <f>IF(_motor!$B$630=0,"",IF(AND(ABS(_motor!$E$630-_motor!$B$669)&lt;=_motor!$B$677+0.000000001,ABS(_motor!$F$630-_motor!$B$669)&lt;=_motor!$B$677+0.000000001),"5 · Pelotón (no concluyente)",IF(AND(_motor!$E$630&gt;=_motor!$B$669,_motor!$F$630&lt;_motor!$B$669),"1 · Entrada / determinante",IF(AND(_motor!$E$630&gt;=_motor!$B$669,_motor!$F$630&gt;=_motor!$B$669),"2 · Intermedia / de enlace",IF(AND(_motor!$E$630&lt;_motor!$B$669,_motor!$F$630&gt;=_motor!$B$669),"3 · Resultado","4 · Excluida / autónoma")))))</f>
        <v/>
      </c>
      <c r="J50" s="2" t="str">
        <f>IF(_motor!$B$630=0,"",IF(AND(ABS(_motor!$E$630-_motor!$B$669)&lt;=_motor!$B$677+0.000000001,ABS(_motor!$F$630-_motor!$B$669)&lt;=_motor!$B$677+0.000000001),"Reguladora",IF(AND(_motor!$E$630&gt;=_motor!$B$669,_motor!$F$630&lt;0.5*_motor!$B$669),"Determinante / entorno",IF(AND(_motor!$E$630&gt;=_motor!$B$669,_motor!$F$630&lt;_motor!$B$669),"Palanca secundaria",IF(AND(_motor!$E$630&gt;=_motor!$B$669,_motor!$F$630&gt;=_motor!$B$669),"Clave / de enlace",IF(AND(_motor!$F$630&gt;=_motor!$B$669,_motor!$E$630&gt;=0.5*_motor!$B$669),"Objetivo",IF(_motor!$F$630&gt;=_motor!$B$669,"Resultado","Autónoma")))))))</f>
        <v/>
      </c>
      <c r="K50" s="2" t="str">
        <f>IF(_motor!$B$630=0,"",_motor!$M$630-_motor!$O$630)</f>
        <v/>
      </c>
      <c r="L50" s="2" t="str">
        <f>IF(_motor!$B$630=0,"",IF(_motor!$O$630&lt;_motor!$M$630-2,"▲ VARIABLE OCULTA (sube "&amp;TEXT(_motor!$M$630-_motor!$O$630,"0")&amp;" puestos)",IF(_motor!$O$630&gt;_motor!$M$630+2,"▼ Sobrevalorada en directo (baja "&amp;TEXT(_motor!$O$630-_motor!$M$630,"0")&amp;")","= Estable")))</f>
        <v/>
      </c>
    </row>
    <row r="51" spans="1:12" x14ac:dyDescent="0.2">
      <c r="A51" s="6" t="str">
        <f>IF(_motor!$B$631=0,"",'02 · Variables'!$B$52)</f>
        <v/>
      </c>
      <c r="B51" s="2" t="str">
        <f>IF(_motor!$B$631=0,"",'02 · Variables'!$C$52)</f>
        <v/>
      </c>
      <c r="C51" s="9" t="str">
        <f>IF(_motor!$B$631=0,"",_motor!$E$631)</f>
        <v/>
      </c>
      <c r="D51" s="9" t="str">
        <f>IF(_motor!$B$631=0,"",_motor!$F$631)</f>
        <v/>
      </c>
      <c r="E51" s="8" t="str">
        <f>IF(OR(_motor!$B$631=0,_motor!$B$673=0),"",_motor!$E$631/_motor!$B$673)</f>
        <v/>
      </c>
      <c r="F51" s="8" t="str">
        <f>IF(OR(_motor!$B$631=0,_motor!$B$673=0),"",_motor!$F$631/_motor!$B$673)</f>
        <v/>
      </c>
      <c r="G51" s="7" t="str">
        <f>IF(_motor!$B$631=0,"",SUMPRODUCT(_motor!$B$586:$B$665*(_motor!$E$586:$E$665&gt;_motor!$E$631))+(SUMPRODUCT(_motor!$B$586:$B$665*(_motor!$E$586:$E$665=_motor!$E$631))+1)/2)</f>
        <v/>
      </c>
      <c r="H51" s="7" t="str">
        <f>IF(_motor!$B$631=0,"",SUMPRODUCT(_motor!$B$586:$B$665*(_motor!$F$586:$F$665&gt;_motor!$F$631))+(SUMPRODUCT(_motor!$B$586:$B$665*(_motor!$F$586:$F$665=_motor!$F$631))+1)/2)</f>
        <v/>
      </c>
      <c r="I51" s="2" t="str">
        <f>IF(_motor!$B$631=0,"",IF(AND(ABS(_motor!$E$631-_motor!$B$669)&lt;=_motor!$B$677+0.000000001,ABS(_motor!$F$631-_motor!$B$669)&lt;=_motor!$B$677+0.000000001),"5 · Pelotón (no concluyente)",IF(AND(_motor!$E$631&gt;=_motor!$B$669,_motor!$F$631&lt;_motor!$B$669),"1 · Entrada / determinante",IF(AND(_motor!$E$631&gt;=_motor!$B$669,_motor!$F$631&gt;=_motor!$B$669),"2 · Intermedia / de enlace",IF(AND(_motor!$E$631&lt;_motor!$B$669,_motor!$F$631&gt;=_motor!$B$669),"3 · Resultado","4 · Excluida / autónoma")))))</f>
        <v/>
      </c>
      <c r="J51" s="2" t="str">
        <f>IF(_motor!$B$631=0,"",IF(AND(ABS(_motor!$E$631-_motor!$B$669)&lt;=_motor!$B$677+0.000000001,ABS(_motor!$F$631-_motor!$B$669)&lt;=_motor!$B$677+0.000000001),"Reguladora",IF(AND(_motor!$E$631&gt;=_motor!$B$669,_motor!$F$631&lt;0.5*_motor!$B$669),"Determinante / entorno",IF(AND(_motor!$E$631&gt;=_motor!$B$669,_motor!$F$631&lt;_motor!$B$669),"Palanca secundaria",IF(AND(_motor!$E$631&gt;=_motor!$B$669,_motor!$F$631&gt;=_motor!$B$669),"Clave / de enlace",IF(AND(_motor!$F$631&gt;=_motor!$B$669,_motor!$E$631&gt;=0.5*_motor!$B$669),"Objetivo",IF(_motor!$F$631&gt;=_motor!$B$669,"Resultado","Autónoma")))))))</f>
        <v/>
      </c>
      <c r="K51" s="2" t="str">
        <f>IF(_motor!$B$631=0,"",_motor!$M$631-_motor!$O$631)</f>
        <v/>
      </c>
      <c r="L51" s="2" t="str">
        <f>IF(_motor!$B$631=0,"",IF(_motor!$O$631&lt;_motor!$M$631-2,"▲ VARIABLE OCULTA (sube "&amp;TEXT(_motor!$M$631-_motor!$O$631,"0")&amp;" puestos)",IF(_motor!$O$631&gt;_motor!$M$631+2,"▼ Sobrevalorada en directo (baja "&amp;TEXT(_motor!$O$631-_motor!$M$631,"0")&amp;")","= Estable")))</f>
        <v/>
      </c>
    </row>
    <row r="52" spans="1:12" x14ac:dyDescent="0.2">
      <c r="A52" s="6" t="str">
        <f>IF(_motor!$B$632=0,"",'02 · Variables'!$B$53)</f>
        <v/>
      </c>
      <c r="B52" s="2" t="str">
        <f>IF(_motor!$B$632=0,"",'02 · Variables'!$C$53)</f>
        <v/>
      </c>
      <c r="C52" s="9" t="str">
        <f>IF(_motor!$B$632=0,"",_motor!$E$632)</f>
        <v/>
      </c>
      <c r="D52" s="9" t="str">
        <f>IF(_motor!$B$632=0,"",_motor!$F$632)</f>
        <v/>
      </c>
      <c r="E52" s="8" t="str">
        <f>IF(OR(_motor!$B$632=0,_motor!$B$673=0),"",_motor!$E$632/_motor!$B$673)</f>
        <v/>
      </c>
      <c r="F52" s="8" t="str">
        <f>IF(OR(_motor!$B$632=0,_motor!$B$673=0),"",_motor!$F$632/_motor!$B$673)</f>
        <v/>
      </c>
      <c r="G52" s="7" t="str">
        <f>IF(_motor!$B$632=0,"",SUMPRODUCT(_motor!$B$586:$B$665*(_motor!$E$586:$E$665&gt;_motor!$E$632))+(SUMPRODUCT(_motor!$B$586:$B$665*(_motor!$E$586:$E$665=_motor!$E$632))+1)/2)</f>
        <v/>
      </c>
      <c r="H52" s="7" t="str">
        <f>IF(_motor!$B$632=0,"",SUMPRODUCT(_motor!$B$586:$B$665*(_motor!$F$586:$F$665&gt;_motor!$F$632))+(SUMPRODUCT(_motor!$B$586:$B$665*(_motor!$F$586:$F$665=_motor!$F$632))+1)/2)</f>
        <v/>
      </c>
      <c r="I52" s="2" t="str">
        <f>IF(_motor!$B$632=0,"",IF(AND(ABS(_motor!$E$632-_motor!$B$669)&lt;=_motor!$B$677+0.000000001,ABS(_motor!$F$632-_motor!$B$669)&lt;=_motor!$B$677+0.000000001),"5 · Pelotón (no concluyente)",IF(AND(_motor!$E$632&gt;=_motor!$B$669,_motor!$F$632&lt;_motor!$B$669),"1 · Entrada / determinante",IF(AND(_motor!$E$632&gt;=_motor!$B$669,_motor!$F$632&gt;=_motor!$B$669),"2 · Intermedia / de enlace",IF(AND(_motor!$E$632&lt;_motor!$B$669,_motor!$F$632&gt;=_motor!$B$669),"3 · Resultado","4 · Excluida / autónoma")))))</f>
        <v/>
      </c>
      <c r="J52" s="2" t="str">
        <f>IF(_motor!$B$632=0,"",IF(AND(ABS(_motor!$E$632-_motor!$B$669)&lt;=_motor!$B$677+0.000000001,ABS(_motor!$F$632-_motor!$B$669)&lt;=_motor!$B$677+0.000000001),"Reguladora",IF(AND(_motor!$E$632&gt;=_motor!$B$669,_motor!$F$632&lt;0.5*_motor!$B$669),"Determinante / entorno",IF(AND(_motor!$E$632&gt;=_motor!$B$669,_motor!$F$632&lt;_motor!$B$669),"Palanca secundaria",IF(AND(_motor!$E$632&gt;=_motor!$B$669,_motor!$F$632&gt;=_motor!$B$669),"Clave / de enlace",IF(AND(_motor!$F$632&gt;=_motor!$B$669,_motor!$E$632&gt;=0.5*_motor!$B$669),"Objetivo",IF(_motor!$F$632&gt;=_motor!$B$669,"Resultado","Autónoma")))))))</f>
        <v/>
      </c>
      <c r="K52" s="2" t="str">
        <f>IF(_motor!$B$632=0,"",_motor!$M$632-_motor!$O$632)</f>
        <v/>
      </c>
      <c r="L52" s="2" t="str">
        <f>IF(_motor!$B$632=0,"",IF(_motor!$O$632&lt;_motor!$M$632-2,"▲ VARIABLE OCULTA (sube "&amp;TEXT(_motor!$M$632-_motor!$O$632,"0")&amp;" puestos)",IF(_motor!$O$632&gt;_motor!$M$632+2,"▼ Sobrevalorada en directo (baja "&amp;TEXT(_motor!$O$632-_motor!$M$632,"0")&amp;")","= Estable")))</f>
        <v/>
      </c>
    </row>
    <row r="53" spans="1:12" x14ac:dyDescent="0.2">
      <c r="A53" s="6" t="str">
        <f>IF(_motor!$B$633=0,"",'02 · Variables'!$B$54)</f>
        <v/>
      </c>
      <c r="B53" s="2" t="str">
        <f>IF(_motor!$B$633=0,"",'02 · Variables'!$C$54)</f>
        <v/>
      </c>
      <c r="C53" s="9" t="str">
        <f>IF(_motor!$B$633=0,"",_motor!$E$633)</f>
        <v/>
      </c>
      <c r="D53" s="9" t="str">
        <f>IF(_motor!$B$633=0,"",_motor!$F$633)</f>
        <v/>
      </c>
      <c r="E53" s="8" t="str">
        <f>IF(OR(_motor!$B$633=0,_motor!$B$673=0),"",_motor!$E$633/_motor!$B$673)</f>
        <v/>
      </c>
      <c r="F53" s="8" t="str">
        <f>IF(OR(_motor!$B$633=0,_motor!$B$673=0),"",_motor!$F$633/_motor!$B$673)</f>
        <v/>
      </c>
      <c r="G53" s="7" t="str">
        <f>IF(_motor!$B$633=0,"",SUMPRODUCT(_motor!$B$586:$B$665*(_motor!$E$586:$E$665&gt;_motor!$E$633))+(SUMPRODUCT(_motor!$B$586:$B$665*(_motor!$E$586:$E$665=_motor!$E$633))+1)/2)</f>
        <v/>
      </c>
      <c r="H53" s="7" t="str">
        <f>IF(_motor!$B$633=0,"",SUMPRODUCT(_motor!$B$586:$B$665*(_motor!$F$586:$F$665&gt;_motor!$F$633))+(SUMPRODUCT(_motor!$B$586:$B$665*(_motor!$F$586:$F$665=_motor!$F$633))+1)/2)</f>
        <v/>
      </c>
      <c r="I53" s="2" t="str">
        <f>IF(_motor!$B$633=0,"",IF(AND(ABS(_motor!$E$633-_motor!$B$669)&lt;=_motor!$B$677+0.000000001,ABS(_motor!$F$633-_motor!$B$669)&lt;=_motor!$B$677+0.000000001),"5 · Pelotón (no concluyente)",IF(AND(_motor!$E$633&gt;=_motor!$B$669,_motor!$F$633&lt;_motor!$B$669),"1 · Entrada / determinante",IF(AND(_motor!$E$633&gt;=_motor!$B$669,_motor!$F$633&gt;=_motor!$B$669),"2 · Intermedia / de enlace",IF(AND(_motor!$E$633&lt;_motor!$B$669,_motor!$F$633&gt;=_motor!$B$669),"3 · Resultado","4 · Excluida / autónoma")))))</f>
        <v/>
      </c>
      <c r="J53" s="2" t="str">
        <f>IF(_motor!$B$633=0,"",IF(AND(ABS(_motor!$E$633-_motor!$B$669)&lt;=_motor!$B$677+0.000000001,ABS(_motor!$F$633-_motor!$B$669)&lt;=_motor!$B$677+0.000000001),"Reguladora",IF(AND(_motor!$E$633&gt;=_motor!$B$669,_motor!$F$633&lt;0.5*_motor!$B$669),"Determinante / entorno",IF(AND(_motor!$E$633&gt;=_motor!$B$669,_motor!$F$633&lt;_motor!$B$669),"Palanca secundaria",IF(AND(_motor!$E$633&gt;=_motor!$B$669,_motor!$F$633&gt;=_motor!$B$669),"Clave / de enlace",IF(AND(_motor!$F$633&gt;=_motor!$B$669,_motor!$E$633&gt;=0.5*_motor!$B$669),"Objetivo",IF(_motor!$F$633&gt;=_motor!$B$669,"Resultado","Autónoma")))))))</f>
        <v/>
      </c>
      <c r="K53" s="2" t="str">
        <f>IF(_motor!$B$633=0,"",_motor!$M$633-_motor!$O$633)</f>
        <v/>
      </c>
      <c r="L53" s="2" t="str">
        <f>IF(_motor!$B$633=0,"",IF(_motor!$O$633&lt;_motor!$M$633-2,"▲ VARIABLE OCULTA (sube "&amp;TEXT(_motor!$M$633-_motor!$O$633,"0")&amp;" puestos)",IF(_motor!$O$633&gt;_motor!$M$633+2,"▼ Sobrevalorada en directo (baja "&amp;TEXT(_motor!$O$633-_motor!$M$633,"0")&amp;")","= Estable")))</f>
        <v/>
      </c>
    </row>
    <row r="54" spans="1:12" x14ac:dyDescent="0.2">
      <c r="A54" s="6" t="str">
        <f>IF(_motor!$B$634=0,"",'02 · Variables'!$B$55)</f>
        <v/>
      </c>
      <c r="B54" s="2" t="str">
        <f>IF(_motor!$B$634=0,"",'02 · Variables'!$C$55)</f>
        <v/>
      </c>
      <c r="C54" s="9" t="str">
        <f>IF(_motor!$B$634=0,"",_motor!$E$634)</f>
        <v/>
      </c>
      <c r="D54" s="9" t="str">
        <f>IF(_motor!$B$634=0,"",_motor!$F$634)</f>
        <v/>
      </c>
      <c r="E54" s="8" t="str">
        <f>IF(OR(_motor!$B$634=0,_motor!$B$673=0),"",_motor!$E$634/_motor!$B$673)</f>
        <v/>
      </c>
      <c r="F54" s="8" t="str">
        <f>IF(OR(_motor!$B$634=0,_motor!$B$673=0),"",_motor!$F$634/_motor!$B$673)</f>
        <v/>
      </c>
      <c r="G54" s="7" t="str">
        <f>IF(_motor!$B$634=0,"",SUMPRODUCT(_motor!$B$586:$B$665*(_motor!$E$586:$E$665&gt;_motor!$E$634))+(SUMPRODUCT(_motor!$B$586:$B$665*(_motor!$E$586:$E$665=_motor!$E$634))+1)/2)</f>
        <v/>
      </c>
      <c r="H54" s="7" t="str">
        <f>IF(_motor!$B$634=0,"",SUMPRODUCT(_motor!$B$586:$B$665*(_motor!$F$586:$F$665&gt;_motor!$F$634))+(SUMPRODUCT(_motor!$B$586:$B$665*(_motor!$F$586:$F$665=_motor!$F$634))+1)/2)</f>
        <v/>
      </c>
      <c r="I54" s="2" t="str">
        <f>IF(_motor!$B$634=0,"",IF(AND(ABS(_motor!$E$634-_motor!$B$669)&lt;=_motor!$B$677+0.000000001,ABS(_motor!$F$634-_motor!$B$669)&lt;=_motor!$B$677+0.000000001),"5 · Pelotón (no concluyente)",IF(AND(_motor!$E$634&gt;=_motor!$B$669,_motor!$F$634&lt;_motor!$B$669),"1 · Entrada / determinante",IF(AND(_motor!$E$634&gt;=_motor!$B$669,_motor!$F$634&gt;=_motor!$B$669),"2 · Intermedia / de enlace",IF(AND(_motor!$E$634&lt;_motor!$B$669,_motor!$F$634&gt;=_motor!$B$669),"3 · Resultado","4 · Excluida / autónoma")))))</f>
        <v/>
      </c>
      <c r="J54" s="2" t="str">
        <f>IF(_motor!$B$634=0,"",IF(AND(ABS(_motor!$E$634-_motor!$B$669)&lt;=_motor!$B$677+0.000000001,ABS(_motor!$F$634-_motor!$B$669)&lt;=_motor!$B$677+0.000000001),"Reguladora",IF(AND(_motor!$E$634&gt;=_motor!$B$669,_motor!$F$634&lt;0.5*_motor!$B$669),"Determinante / entorno",IF(AND(_motor!$E$634&gt;=_motor!$B$669,_motor!$F$634&lt;_motor!$B$669),"Palanca secundaria",IF(AND(_motor!$E$634&gt;=_motor!$B$669,_motor!$F$634&gt;=_motor!$B$669),"Clave / de enlace",IF(AND(_motor!$F$634&gt;=_motor!$B$669,_motor!$E$634&gt;=0.5*_motor!$B$669),"Objetivo",IF(_motor!$F$634&gt;=_motor!$B$669,"Resultado","Autónoma")))))))</f>
        <v/>
      </c>
      <c r="K54" s="2" t="str">
        <f>IF(_motor!$B$634=0,"",_motor!$M$634-_motor!$O$634)</f>
        <v/>
      </c>
      <c r="L54" s="2" t="str">
        <f>IF(_motor!$B$634=0,"",IF(_motor!$O$634&lt;_motor!$M$634-2,"▲ VARIABLE OCULTA (sube "&amp;TEXT(_motor!$M$634-_motor!$O$634,"0")&amp;" puestos)",IF(_motor!$O$634&gt;_motor!$M$634+2,"▼ Sobrevalorada en directo (baja "&amp;TEXT(_motor!$O$634-_motor!$M$634,"0")&amp;")","= Estable")))</f>
        <v/>
      </c>
    </row>
    <row r="55" spans="1:12" x14ac:dyDescent="0.2">
      <c r="A55" s="6" t="str">
        <f>IF(_motor!$B$635=0,"",'02 · Variables'!$B$56)</f>
        <v/>
      </c>
      <c r="B55" s="2" t="str">
        <f>IF(_motor!$B$635=0,"",'02 · Variables'!$C$56)</f>
        <v/>
      </c>
      <c r="C55" s="9" t="str">
        <f>IF(_motor!$B$635=0,"",_motor!$E$635)</f>
        <v/>
      </c>
      <c r="D55" s="9" t="str">
        <f>IF(_motor!$B$635=0,"",_motor!$F$635)</f>
        <v/>
      </c>
      <c r="E55" s="8" t="str">
        <f>IF(OR(_motor!$B$635=0,_motor!$B$673=0),"",_motor!$E$635/_motor!$B$673)</f>
        <v/>
      </c>
      <c r="F55" s="8" t="str">
        <f>IF(OR(_motor!$B$635=0,_motor!$B$673=0),"",_motor!$F$635/_motor!$B$673)</f>
        <v/>
      </c>
      <c r="G55" s="7" t="str">
        <f>IF(_motor!$B$635=0,"",SUMPRODUCT(_motor!$B$586:$B$665*(_motor!$E$586:$E$665&gt;_motor!$E$635))+(SUMPRODUCT(_motor!$B$586:$B$665*(_motor!$E$586:$E$665=_motor!$E$635))+1)/2)</f>
        <v/>
      </c>
      <c r="H55" s="7" t="str">
        <f>IF(_motor!$B$635=0,"",SUMPRODUCT(_motor!$B$586:$B$665*(_motor!$F$586:$F$665&gt;_motor!$F$635))+(SUMPRODUCT(_motor!$B$586:$B$665*(_motor!$F$586:$F$665=_motor!$F$635))+1)/2)</f>
        <v/>
      </c>
      <c r="I55" s="2" t="str">
        <f>IF(_motor!$B$635=0,"",IF(AND(ABS(_motor!$E$635-_motor!$B$669)&lt;=_motor!$B$677+0.000000001,ABS(_motor!$F$635-_motor!$B$669)&lt;=_motor!$B$677+0.000000001),"5 · Pelotón (no concluyente)",IF(AND(_motor!$E$635&gt;=_motor!$B$669,_motor!$F$635&lt;_motor!$B$669),"1 · Entrada / determinante",IF(AND(_motor!$E$635&gt;=_motor!$B$669,_motor!$F$635&gt;=_motor!$B$669),"2 · Intermedia / de enlace",IF(AND(_motor!$E$635&lt;_motor!$B$669,_motor!$F$635&gt;=_motor!$B$669),"3 · Resultado","4 · Excluida / autónoma")))))</f>
        <v/>
      </c>
      <c r="J55" s="2" t="str">
        <f>IF(_motor!$B$635=0,"",IF(AND(ABS(_motor!$E$635-_motor!$B$669)&lt;=_motor!$B$677+0.000000001,ABS(_motor!$F$635-_motor!$B$669)&lt;=_motor!$B$677+0.000000001),"Reguladora",IF(AND(_motor!$E$635&gt;=_motor!$B$669,_motor!$F$635&lt;0.5*_motor!$B$669),"Determinante / entorno",IF(AND(_motor!$E$635&gt;=_motor!$B$669,_motor!$F$635&lt;_motor!$B$669),"Palanca secundaria",IF(AND(_motor!$E$635&gt;=_motor!$B$669,_motor!$F$635&gt;=_motor!$B$669),"Clave / de enlace",IF(AND(_motor!$F$635&gt;=_motor!$B$669,_motor!$E$635&gt;=0.5*_motor!$B$669),"Objetivo",IF(_motor!$F$635&gt;=_motor!$B$669,"Resultado","Autónoma")))))))</f>
        <v/>
      </c>
      <c r="K55" s="2" t="str">
        <f>IF(_motor!$B$635=0,"",_motor!$M$635-_motor!$O$635)</f>
        <v/>
      </c>
      <c r="L55" s="2" t="str">
        <f>IF(_motor!$B$635=0,"",IF(_motor!$O$635&lt;_motor!$M$635-2,"▲ VARIABLE OCULTA (sube "&amp;TEXT(_motor!$M$635-_motor!$O$635,"0")&amp;" puestos)",IF(_motor!$O$635&gt;_motor!$M$635+2,"▼ Sobrevalorada en directo (baja "&amp;TEXT(_motor!$O$635-_motor!$M$635,"0")&amp;")","= Estable")))</f>
        <v/>
      </c>
    </row>
    <row r="56" spans="1:12" x14ac:dyDescent="0.2">
      <c r="A56" s="6" t="str">
        <f>IF(_motor!$B$636=0,"",'02 · Variables'!$B$57)</f>
        <v/>
      </c>
      <c r="B56" s="2" t="str">
        <f>IF(_motor!$B$636=0,"",'02 · Variables'!$C$57)</f>
        <v/>
      </c>
      <c r="C56" s="9" t="str">
        <f>IF(_motor!$B$636=0,"",_motor!$E$636)</f>
        <v/>
      </c>
      <c r="D56" s="9" t="str">
        <f>IF(_motor!$B$636=0,"",_motor!$F$636)</f>
        <v/>
      </c>
      <c r="E56" s="8" t="str">
        <f>IF(OR(_motor!$B$636=0,_motor!$B$673=0),"",_motor!$E$636/_motor!$B$673)</f>
        <v/>
      </c>
      <c r="F56" s="8" t="str">
        <f>IF(OR(_motor!$B$636=0,_motor!$B$673=0),"",_motor!$F$636/_motor!$B$673)</f>
        <v/>
      </c>
      <c r="G56" s="7" t="str">
        <f>IF(_motor!$B$636=0,"",SUMPRODUCT(_motor!$B$586:$B$665*(_motor!$E$586:$E$665&gt;_motor!$E$636))+(SUMPRODUCT(_motor!$B$586:$B$665*(_motor!$E$586:$E$665=_motor!$E$636))+1)/2)</f>
        <v/>
      </c>
      <c r="H56" s="7" t="str">
        <f>IF(_motor!$B$636=0,"",SUMPRODUCT(_motor!$B$586:$B$665*(_motor!$F$586:$F$665&gt;_motor!$F$636))+(SUMPRODUCT(_motor!$B$586:$B$665*(_motor!$F$586:$F$665=_motor!$F$636))+1)/2)</f>
        <v/>
      </c>
      <c r="I56" s="2" t="str">
        <f>IF(_motor!$B$636=0,"",IF(AND(ABS(_motor!$E$636-_motor!$B$669)&lt;=_motor!$B$677+0.000000001,ABS(_motor!$F$636-_motor!$B$669)&lt;=_motor!$B$677+0.000000001),"5 · Pelotón (no concluyente)",IF(AND(_motor!$E$636&gt;=_motor!$B$669,_motor!$F$636&lt;_motor!$B$669),"1 · Entrada / determinante",IF(AND(_motor!$E$636&gt;=_motor!$B$669,_motor!$F$636&gt;=_motor!$B$669),"2 · Intermedia / de enlace",IF(AND(_motor!$E$636&lt;_motor!$B$669,_motor!$F$636&gt;=_motor!$B$669),"3 · Resultado","4 · Excluida / autónoma")))))</f>
        <v/>
      </c>
      <c r="J56" s="2" t="str">
        <f>IF(_motor!$B$636=0,"",IF(AND(ABS(_motor!$E$636-_motor!$B$669)&lt;=_motor!$B$677+0.000000001,ABS(_motor!$F$636-_motor!$B$669)&lt;=_motor!$B$677+0.000000001),"Reguladora",IF(AND(_motor!$E$636&gt;=_motor!$B$669,_motor!$F$636&lt;0.5*_motor!$B$669),"Determinante / entorno",IF(AND(_motor!$E$636&gt;=_motor!$B$669,_motor!$F$636&lt;_motor!$B$669),"Palanca secundaria",IF(AND(_motor!$E$636&gt;=_motor!$B$669,_motor!$F$636&gt;=_motor!$B$669),"Clave / de enlace",IF(AND(_motor!$F$636&gt;=_motor!$B$669,_motor!$E$636&gt;=0.5*_motor!$B$669),"Objetivo",IF(_motor!$F$636&gt;=_motor!$B$669,"Resultado","Autónoma")))))))</f>
        <v/>
      </c>
      <c r="K56" s="2" t="str">
        <f>IF(_motor!$B$636=0,"",_motor!$M$636-_motor!$O$636)</f>
        <v/>
      </c>
      <c r="L56" s="2" t="str">
        <f>IF(_motor!$B$636=0,"",IF(_motor!$O$636&lt;_motor!$M$636-2,"▲ VARIABLE OCULTA (sube "&amp;TEXT(_motor!$M$636-_motor!$O$636,"0")&amp;" puestos)",IF(_motor!$O$636&gt;_motor!$M$636+2,"▼ Sobrevalorada en directo (baja "&amp;TEXT(_motor!$O$636-_motor!$M$636,"0")&amp;")","= Estable")))</f>
        <v/>
      </c>
    </row>
    <row r="57" spans="1:12" x14ac:dyDescent="0.2">
      <c r="A57" s="6" t="str">
        <f>IF(_motor!$B$637=0,"",'02 · Variables'!$B$58)</f>
        <v/>
      </c>
      <c r="B57" s="2" t="str">
        <f>IF(_motor!$B$637=0,"",'02 · Variables'!$C$58)</f>
        <v/>
      </c>
      <c r="C57" s="9" t="str">
        <f>IF(_motor!$B$637=0,"",_motor!$E$637)</f>
        <v/>
      </c>
      <c r="D57" s="9" t="str">
        <f>IF(_motor!$B$637=0,"",_motor!$F$637)</f>
        <v/>
      </c>
      <c r="E57" s="8" t="str">
        <f>IF(OR(_motor!$B$637=0,_motor!$B$673=0),"",_motor!$E$637/_motor!$B$673)</f>
        <v/>
      </c>
      <c r="F57" s="8" t="str">
        <f>IF(OR(_motor!$B$637=0,_motor!$B$673=0),"",_motor!$F$637/_motor!$B$673)</f>
        <v/>
      </c>
      <c r="G57" s="7" t="str">
        <f>IF(_motor!$B$637=0,"",SUMPRODUCT(_motor!$B$586:$B$665*(_motor!$E$586:$E$665&gt;_motor!$E$637))+(SUMPRODUCT(_motor!$B$586:$B$665*(_motor!$E$586:$E$665=_motor!$E$637))+1)/2)</f>
        <v/>
      </c>
      <c r="H57" s="7" t="str">
        <f>IF(_motor!$B$637=0,"",SUMPRODUCT(_motor!$B$586:$B$665*(_motor!$F$586:$F$665&gt;_motor!$F$637))+(SUMPRODUCT(_motor!$B$586:$B$665*(_motor!$F$586:$F$665=_motor!$F$637))+1)/2)</f>
        <v/>
      </c>
      <c r="I57" s="2" t="str">
        <f>IF(_motor!$B$637=0,"",IF(AND(ABS(_motor!$E$637-_motor!$B$669)&lt;=_motor!$B$677+0.000000001,ABS(_motor!$F$637-_motor!$B$669)&lt;=_motor!$B$677+0.000000001),"5 · Pelotón (no concluyente)",IF(AND(_motor!$E$637&gt;=_motor!$B$669,_motor!$F$637&lt;_motor!$B$669),"1 · Entrada / determinante",IF(AND(_motor!$E$637&gt;=_motor!$B$669,_motor!$F$637&gt;=_motor!$B$669),"2 · Intermedia / de enlace",IF(AND(_motor!$E$637&lt;_motor!$B$669,_motor!$F$637&gt;=_motor!$B$669),"3 · Resultado","4 · Excluida / autónoma")))))</f>
        <v/>
      </c>
      <c r="J57" s="2" t="str">
        <f>IF(_motor!$B$637=0,"",IF(AND(ABS(_motor!$E$637-_motor!$B$669)&lt;=_motor!$B$677+0.000000001,ABS(_motor!$F$637-_motor!$B$669)&lt;=_motor!$B$677+0.000000001),"Reguladora",IF(AND(_motor!$E$637&gt;=_motor!$B$669,_motor!$F$637&lt;0.5*_motor!$B$669),"Determinante / entorno",IF(AND(_motor!$E$637&gt;=_motor!$B$669,_motor!$F$637&lt;_motor!$B$669),"Palanca secundaria",IF(AND(_motor!$E$637&gt;=_motor!$B$669,_motor!$F$637&gt;=_motor!$B$669),"Clave / de enlace",IF(AND(_motor!$F$637&gt;=_motor!$B$669,_motor!$E$637&gt;=0.5*_motor!$B$669),"Objetivo",IF(_motor!$F$637&gt;=_motor!$B$669,"Resultado","Autónoma")))))))</f>
        <v/>
      </c>
      <c r="K57" s="2" t="str">
        <f>IF(_motor!$B$637=0,"",_motor!$M$637-_motor!$O$637)</f>
        <v/>
      </c>
      <c r="L57" s="2" t="str">
        <f>IF(_motor!$B$637=0,"",IF(_motor!$O$637&lt;_motor!$M$637-2,"▲ VARIABLE OCULTA (sube "&amp;TEXT(_motor!$M$637-_motor!$O$637,"0")&amp;" puestos)",IF(_motor!$O$637&gt;_motor!$M$637+2,"▼ Sobrevalorada en directo (baja "&amp;TEXT(_motor!$O$637-_motor!$M$637,"0")&amp;")","= Estable")))</f>
        <v/>
      </c>
    </row>
    <row r="58" spans="1:12" x14ac:dyDescent="0.2">
      <c r="A58" s="6" t="str">
        <f>IF(_motor!$B$638=0,"",'02 · Variables'!$B$59)</f>
        <v/>
      </c>
      <c r="B58" s="2" t="str">
        <f>IF(_motor!$B$638=0,"",'02 · Variables'!$C$59)</f>
        <v/>
      </c>
      <c r="C58" s="9" t="str">
        <f>IF(_motor!$B$638=0,"",_motor!$E$638)</f>
        <v/>
      </c>
      <c r="D58" s="9" t="str">
        <f>IF(_motor!$B$638=0,"",_motor!$F$638)</f>
        <v/>
      </c>
      <c r="E58" s="8" t="str">
        <f>IF(OR(_motor!$B$638=0,_motor!$B$673=0),"",_motor!$E$638/_motor!$B$673)</f>
        <v/>
      </c>
      <c r="F58" s="8" t="str">
        <f>IF(OR(_motor!$B$638=0,_motor!$B$673=0),"",_motor!$F$638/_motor!$B$673)</f>
        <v/>
      </c>
      <c r="G58" s="7" t="str">
        <f>IF(_motor!$B$638=0,"",SUMPRODUCT(_motor!$B$586:$B$665*(_motor!$E$586:$E$665&gt;_motor!$E$638))+(SUMPRODUCT(_motor!$B$586:$B$665*(_motor!$E$586:$E$665=_motor!$E$638))+1)/2)</f>
        <v/>
      </c>
      <c r="H58" s="7" t="str">
        <f>IF(_motor!$B$638=0,"",SUMPRODUCT(_motor!$B$586:$B$665*(_motor!$F$586:$F$665&gt;_motor!$F$638))+(SUMPRODUCT(_motor!$B$586:$B$665*(_motor!$F$586:$F$665=_motor!$F$638))+1)/2)</f>
        <v/>
      </c>
      <c r="I58" s="2" t="str">
        <f>IF(_motor!$B$638=0,"",IF(AND(ABS(_motor!$E$638-_motor!$B$669)&lt;=_motor!$B$677+0.000000001,ABS(_motor!$F$638-_motor!$B$669)&lt;=_motor!$B$677+0.000000001),"5 · Pelotón (no concluyente)",IF(AND(_motor!$E$638&gt;=_motor!$B$669,_motor!$F$638&lt;_motor!$B$669),"1 · Entrada / determinante",IF(AND(_motor!$E$638&gt;=_motor!$B$669,_motor!$F$638&gt;=_motor!$B$669),"2 · Intermedia / de enlace",IF(AND(_motor!$E$638&lt;_motor!$B$669,_motor!$F$638&gt;=_motor!$B$669),"3 · Resultado","4 · Excluida / autónoma")))))</f>
        <v/>
      </c>
      <c r="J58" s="2" t="str">
        <f>IF(_motor!$B$638=0,"",IF(AND(ABS(_motor!$E$638-_motor!$B$669)&lt;=_motor!$B$677+0.000000001,ABS(_motor!$F$638-_motor!$B$669)&lt;=_motor!$B$677+0.000000001),"Reguladora",IF(AND(_motor!$E$638&gt;=_motor!$B$669,_motor!$F$638&lt;0.5*_motor!$B$669),"Determinante / entorno",IF(AND(_motor!$E$638&gt;=_motor!$B$669,_motor!$F$638&lt;_motor!$B$669),"Palanca secundaria",IF(AND(_motor!$E$638&gt;=_motor!$B$669,_motor!$F$638&gt;=_motor!$B$669),"Clave / de enlace",IF(AND(_motor!$F$638&gt;=_motor!$B$669,_motor!$E$638&gt;=0.5*_motor!$B$669),"Objetivo",IF(_motor!$F$638&gt;=_motor!$B$669,"Resultado","Autónoma")))))))</f>
        <v/>
      </c>
      <c r="K58" s="2" t="str">
        <f>IF(_motor!$B$638=0,"",_motor!$M$638-_motor!$O$638)</f>
        <v/>
      </c>
      <c r="L58" s="2" t="str">
        <f>IF(_motor!$B$638=0,"",IF(_motor!$O$638&lt;_motor!$M$638-2,"▲ VARIABLE OCULTA (sube "&amp;TEXT(_motor!$M$638-_motor!$O$638,"0")&amp;" puestos)",IF(_motor!$O$638&gt;_motor!$M$638+2,"▼ Sobrevalorada en directo (baja "&amp;TEXT(_motor!$O$638-_motor!$M$638,"0")&amp;")","= Estable")))</f>
        <v/>
      </c>
    </row>
    <row r="59" spans="1:12" x14ac:dyDescent="0.2">
      <c r="A59" s="6" t="str">
        <f>IF(_motor!$B$639=0,"",'02 · Variables'!$B$60)</f>
        <v/>
      </c>
      <c r="B59" s="2" t="str">
        <f>IF(_motor!$B$639=0,"",'02 · Variables'!$C$60)</f>
        <v/>
      </c>
      <c r="C59" s="9" t="str">
        <f>IF(_motor!$B$639=0,"",_motor!$E$639)</f>
        <v/>
      </c>
      <c r="D59" s="9" t="str">
        <f>IF(_motor!$B$639=0,"",_motor!$F$639)</f>
        <v/>
      </c>
      <c r="E59" s="8" t="str">
        <f>IF(OR(_motor!$B$639=0,_motor!$B$673=0),"",_motor!$E$639/_motor!$B$673)</f>
        <v/>
      </c>
      <c r="F59" s="8" t="str">
        <f>IF(OR(_motor!$B$639=0,_motor!$B$673=0),"",_motor!$F$639/_motor!$B$673)</f>
        <v/>
      </c>
      <c r="G59" s="7" t="str">
        <f>IF(_motor!$B$639=0,"",SUMPRODUCT(_motor!$B$586:$B$665*(_motor!$E$586:$E$665&gt;_motor!$E$639))+(SUMPRODUCT(_motor!$B$586:$B$665*(_motor!$E$586:$E$665=_motor!$E$639))+1)/2)</f>
        <v/>
      </c>
      <c r="H59" s="7" t="str">
        <f>IF(_motor!$B$639=0,"",SUMPRODUCT(_motor!$B$586:$B$665*(_motor!$F$586:$F$665&gt;_motor!$F$639))+(SUMPRODUCT(_motor!$B$586:$B$665*(_motor!$F$586:$F$665=_motor!$F$639))+1)/2)</f>
        <v/>
      </c>
      <c r="I59" s="2" t="str">
        <f>IF(_motor!$B$639=0,"",IF(AND(ABS(_motor!$E$639-_motor!$B$669)&lt;=_motor!$B$677+0.000000001,ABS(_motor!$F$639-_motor!$B$669)&lt;=_motor!$B$677+0.000000001),"5 · Pelotón (no concluyente)",IF(AND(_motor!$E$639&gt;=_motor!$B$669,_motor!$F$639&lt;_motor!$B$669),"1 · Entrada / determinante",IF(AND(_motor!$E$639&gt;=_motor!$B$669,_motor!$F$639&gt;=_motor!$B$669),"2 · Intermedia / de enlace",IF(AND(_motor!$E$639&lt;_motor!$B$669,_motor!$F$639&gt;=_motor!$B$669),"3 · Resultado","4 · Excluida / autónoma")))))</f>
        <v/>
      </c>
      <c r="J59" s="2" t="str">
        <f>IF(_motor!$B$639=0,"",IF(AND(ABS(_motor!$E$639-_motor!$B$669)&lt;=_motor!$B$677+0.000000001,ABS(_motor!$F$639-_motor!$B$669)&lt;=_motor!$B$677+0.000000001),"Reguladora",IF(AND(_motor!$E$639&gt;=_motor!$B$669,_motor!$F$639&lt;0.5*_motor!$B$669),"Determinante / entorno",IF(AND(_motor!$E$639&gt;=_motor!$B$669,_motor!$F$639&lt;_motor!$B$669),"Palanca secundaria",IF(AND(_motor!$E$639&gt;=_motor!$B$669,_motor!$F$639&gt;=_motor!$B$669),"Clave / de enlace",IF(AND(_motor!$F$639&gt;=_motor!$B$669,_motor!$E$639&gt;=0.5*_motor!$B$669),"Objetivo",IF(_motor!$F$639&gt;=_motor!$B$669,"Resultado","Autónoma")))))))</f>
        <v/>
      </c>
      <c r="K59" s="2" t="str">
        <f>IF(_motor!$B$639=0,"",_motor!$M$639-_motor!$O$639)</f>
        <v/>
      </c>
      <c r="L59" s="2" t="str">
        <f>IF(_motor!$B$639=0,"",IF(_motor!$O$639&lt;_motor!$M$639-2,"▲ VARIABLE OCULTA (sube "&amp;TEXT(_motor!$M$639-_motor!$O$639,"0")&amp;" puestos)",IF(_motor!$O$639&gt;_motor!$M$639+2,"▼ Sobrevalorada en directo (baja "&amp;TEXT(_motor!$O$639-_motor!$M$639,"0")&amp;")","= Estable")))</f>
        <v/>
      </c>
    </row>
    <row r="60" spans="1:12" x14ac:dyDescent="0.2">
      <c r="A60" s="6" t="str">
        <f>IF(_motor!$B$640=0,"",'02 · Variables'!$B$61)</f>
        <v/>
      </c>
      <c r="B60" s="2" t="str">
        <f>IF(_motor!$B$640=0,"",'02 · Variables'!$C$61)</f>
        <v/>
      </c>
      <c r="C60" s="9" t="str">
        <f>IF(_motor!$B$640=0,"",_motor!$E$640)</f>
        <v/>
      </c>
      <c r="D60" s="9" t="str">
        <f>IF(_motor!$B$640=0,"",_motor!$F$640)</f>
        <v/>
      </c>
      <c r="E60" s="8" t="str">
        <f>IF(OR(_motor!$B$640=0,_motor!$B$673=0),"",_motor!$E$640/_motor!$B$673)</f>
        <v/>
      </c>
      <c r="F60" s="8" t="str">
        <f>IF(OR(_motor!$B$640=0,_motor!$B$673=0),"",_motor!$F$640/_motor!$B$673)</f>
        <v/>
      </c>
      <c r="G60" s="7" t="str">
        <f>IF(_motor!$B$640=0,"",SUMPRODUCT(_motor!$B$586:$B$665*(_motor!$E$586:$E$665&gt;_motor!$E$640))+(SUMPRODUCT(_motor!$B$586:$B$665*(_motor!$E$586:$E$665=_motor!$E$640))+1)/2)</f>
        <v/>
      </c>
      <c r="H60" s="7" t="str">
        <f>IF(_motor!$B$640=0,"",SUMPRODUCT(_motor!$B$586:$B$665*(_motor!$F$586:$F$665&gt;_motor!$F$640))+(SUMPRODUCT(_motor!$B$586:$B$665*(_motor!$F$586:$F$665=_motor!$F$640))+1)/2)</f>
        <v/>
      </c>
      <c r="I60" s="2" t="str">
        <f>IF(_motor!$B$640=0,"",IF(AND(ABS(_motor!$E$640-_motor!$B$669)&lt;=_motor!$B$677+0.000000001,ABS(_motor!$F$640-_motor!$B$669)&lt;=_motor!$B$677+0.000000001),"5 · Pelotón (no concluyente)",IF(AND(_motor!$E$640&gt;=_motor!$B$669,_motor!$F$640&lt;_motor!$B$669),"1 · Entrada / determinante",IF(AND(_motor!$E$640&gt;=_motor!$B$669,_motor!$F$640&gt;=_motor!$B$669),"2 · Intermedia / de enlace",IF(AND(_motor!$E$640&lt;_motor!$B$669,_motor!$F$640&gt;=_motor!$B$669),"3 · Resultado","4 · Excluida / autónoma")))))</f>
        <v/>
      </c>
      <c r="J60" s="2" t="str">
        <f>IF(_motor!$B$640=0,"",IF(AND(ABS(_motor!$E$640-_motor!$B$669)&lt;=_motor!$B$677+0.000000001,ABS(_motor!$F$640-_motor!$B$669)&lt;=_motor!$B$677+0.000000001),"Reguladora",IF(AND(_motor!$E$640&gt;=_motor!$B$669,_motor!$F$640&lt;0.5*_motor!$B$669),"Determinante / entorno",IF(AND(_motor!$E$640&gt;=_motor!$B$669,_motor!$F$640&lt;_motor!$B$669),"Palanca secundaria",IF(AND(_motor!$E$640&gt;=_motor!$B$669,_motor!$F$640&gt;=_motor!$B$669),"Clave / de enlace",IF(AND(_motor!$F$640&gt;=_motor!$B$669,_motor!$E$640&gt;=0.5*_motor!$B$669),"Objetivo",IF(_motor!$F$640&gt;=_motor!$B$669,"Resultado","Autónoma")))))))</f>
        <v/>
      </c>
      <c r="K60" s="2" t="str">
        <f>IF(_motor!$B$640=0,"",_motor!$M$640-_motor!$O$640)</f>
        <v/>
      </c>
      <c r="L60" s="2" t="str">
        <f>IF(_motor!$B$640=0,"",IF(_motor!$O$640&lt;_motor!$M$640-2,"▲ VARIABLE OCULTA (sube "&amp;TEXT(_motor!$M$640-_motor!$O$640,"0")&amp;" puestos)",IF(_motor!$O$640&gt;_motor!$M$640+2,"▼ Sobrevalorada en directo (baja "&amp;TEXT(_motor!$O$640-_motor!$M$640,"0")&amp;")","= Estable")))</f>
        <v/>
      </c>
    </row>
    <row r="61" spans="1:12" x14ac:dyDescent="0.2">
      <c r="A61" s="6" t="str">
        <f>IF(_motor!$B$641=0,"",'02 · Variables'!$B$62)</f>
        <v/>
      </c>
      <c r="B61" s="2" t="str">
        <f>IF(_motor!$B$641=0,"",'02 · Variables'!$C$62)</f>
        <v/>
      </c>
      <c r="C61" s="9" t="str">
        <f>IF(_motor!$B$641=0,"",_motor!$E$641)</f>
        <v/>
      </c>
      <c r="D61" s="9" t="str">
        <f>IF(_motor!$B$641=0,"",_motor!$F$641)</f>
        <v/>
      </c>
      <c r="E61" s="8" t="str">
        <f>IF(OR(_motor!$B$641=0,_motor!$B$673=0),"",_motor!$E$641/_motor!$B$673)</f>
        <v/>
      </c>
      <c r="F61" s="8" t="str">
        <f>IF(OR(_motor!$B$641=0,_motor!$B$673=0),"",_motor!$F$641/_motor!$B$673)</f>
        <v/>
      </c>
      <c r="G61" s="7" t="str">
        <f>IF(_motor!$B$641=0,"",SUMPRODUCT(_motor!$B$586:$B$665*(_motor!$E$586:$E$665&gt;_motor!$E$641))+(SUMPRODUCT(_motor!$B$586:$B$665*(_motor!$E$586:$E$665=_motor!$E$641))+1)/2)</f>
        <v/>
      </c>
      <c r="H61" s="7" t="str">
        <f>IF(_motor!$B$641=0,"",SUMPRODUCT(_motor!$B$586:$B$665*(_motor!$F$586:$F$665&gt;_motor!$F$641))+(SUMPRODUCT(_motor!$B$586:$B$665*(_motor!$F$586:$F$665=_motor!$F$641))+1)/2)</f>
        <v/>
      </c>
      <c r="I61" s="2" t="str">
        <f>IF(_motor!$B$641=0,"",IF(AND(ABS(_motor!$E$641-_motor!$B$669)&lt;=_motor!$B$677+0.000000001,ABS(_motor!$F$641-_motor!$B$669)&lt;=_motor!$B$677+0.000000001),"5 · Pelotón (no concluyente)",IF(AND(_motor!$E$641&gt;=_motor!$B$669,_motor!$F$641&lt;_motor!$B$669),"1 · Entrada / determinante",IF(AND(_motor!$E$641&gt;=_motor!$B$669,_motor!$F$641&gt;=_motor!$B$669),"2 · Intermedia / de enlace",IF(AND(_motor!$E$641&lt;_motor!$B$669,_motor!$F$641&gt;=_motor!$B$669),"3 · Resultado","4 · Excluida / autónoma")))))</f>
        <v/>
      </c>
      <c r="J61" s="2" t="str">
        <f>IF(_motor!$B$641=0,"",IF(AND(ABS(_motor!$E$641-_motor!$B$669)&lt;=_motor!$B$677+0.000000001,ABS(_motor!$F$641-_motor!$B$669)&lt;=_motor!$B$677+0.000000001),"Reguladora",IF(AND(_motor!$E$641&gt;=_motor!$B$669,_motor!$F$641&lt;0.5*_motor!$B$669),"Determinante / entorno",IF(AND(_motor!$E$641&gt;=_motor!$B$669,_motor!$F$641&lt;_motor!$B$669),"Palanca secundaria",IF(AND(_motor!$E$641&gt;=_motor!$B$669,_motor!$F$641&gt;=_motor!$B$669),"Clave / de enlace",IF(AND(_motor!$F$641&gt;=_motor!$B$669,_motor!$E$641&gt;=0.5*_motor!$B$669),"Objetivo",IF(_motor!$F$641&gt;=_motor!$B$669,"Resultado","Autónoma")))))))</f>
        <v/>
      </c>
      <c r="K61" s="2" t="str">
        <f>IF(_motor!$B$641=0,"",_motor!$M$641-_motor!$O$641)</f>
        <v/>
      </c>
      <c r="L61" s="2" t="str">
        <f>IF(_motor!$B$641=0,"",IF(_motor!$O$641&lt;_motor!$M$641-2,"▲ VARIABLE OCULTA (sube "&amp;TEXT(_motor!$M$641-_motor!$O$641,"0")&amp;" puestos)",IF(_motor!$O$641&gt;_motor!$M$641+2,"▼ Sobrevalorada en directo (baja "&amp;TEXT(_motor!$O$641-_motor!$M$641,"0")&amp;")","= Estable")))</f>
        <v/>
      </c>
    </row>
    <row r="62" spans="1:12" x14ac:dyDescent="0.2">
      <c r="A62" s="6" t="str">
        <f>IF(_motor!$B$642=0,"",'02 · Variables'!$B$63)</f>
        <v/>
      </c>
      <c r="B62" s="2" t="str">
        <f>IF(_motor!$B$642=0,"",'02 · Variables'!$C$63)</f>
        <v/>
      </c>
      <c r="C62" s="9" t="str">
        <f>IF(_motor!$B$642=0,"",_motor!$E$642)</f>
        <v/>
      </c>
      <c r="D62" s="9" t="str">
        <f>IF(_motor!$B$642=0,"",_motor!$F$642)</f>
        <v/>
      </c>
      <c r="E62" s="8" t="str">
        <f>IF(OR(_motor!$B$642=0,_motor!$B$673=0),"",_motor!$E$642/_motor!$B$673)</f>
        <v/>
      </c>
      <c r="F62" s="8" t="str">
        <f>IF(OR(_motor!$B$642=0,_motor!$B$673=0),"",_motor!$F$642/_motor!$B$673)</f>
        <v/>
      </c>
      <c r="G62" s="7" t="str">
        <f>IF(_motor!$B$642=0,"",SUMPRODUCT(_motor!$B$586:$B$665*(_motor!$E$586:$E$665&gt;_motor!$E$642))+(SUMPRODUCT(_motor!$B$586:$B$665*(_motor!$E$586:$E$665=_motor!$E$642))+1)/2)</f>
        <v/>
      </c>
      <c r="H62" s="7" t="str">
        <f>IF(_motor!$B$642=0,"",SUMPRODUCT(_motor!$B$586:$B$665*(_motor!$F$586:$F$665&gt;_motor!$F$642))+(SUMPRODUCT(_motor!$B$586:$B$665*(_motor!$F$586:$F$665=_motor!$F$642))+1)/2)</f>
        <v/>
      </c>
      <c r="I62" s="2" t="str">
        <f>IF(_motor!$B$642=0,"",IF(AND(ABS(_motor!$E$642-_motor!$B$669)&lt;=_motor!$B$677+0.000000001,ABS(_motor!$F$642-_motor!$B$669)&lt;=_motor!$B$677+0.000000001),"5 · Pelotón (no concluyente)",IF(AND(_motor!$E$642&gt;=_motor!$B$669,_motor!$F$642&lt;_motor!$B$669),"1 · Entrada / determinante",IF(AND(_motor!$E$642&gt;=_motor!$B$669,_motor!$F$642&gt;=_motor!$B$669),"2 · Intermedia / de enlace",IF(AND(_motor!$E$642&lt;_motor!$B$669,_motor!$F$642&gt;=_motor!$B$669),"3 · Resultado","4 · Excluida / autónoma")))))</f>
        <v/>
      </c>
      <c r="J62" s="2" t="str">
        <f>IF(_motor!$B$642=0,"",IF(AND(ABS(_motor!$E$642-_motor!$B$669)&lt;=_motor!$B$677+0.000000001,ABS(_motor!$F$642-_motor!$B$669)&lt;=_motor!$B$677+0.000000001),"Reguladora",IF(AND(_motor!$E$642&gt;=_motor!$B$669,_motor!$F$642&lt;0.5*_motor!$B$669),"Determinante / entorno",IF(AND(_motor!$E$642&gt;=_motor!$B$669,_motor!$F$642&lt;_motor!$B$669),"Palanca secundaria",IF(AND(_motor!$E$642&gt;=_motor!$B$669,_motor!$F$642&gt;=_motor!$B$669),"Clave / de enlace",IF(AND(_motor!$F$642&gt;=_motor!$B$669,_motor!$E$642&gt;=0.5*_motor!$B$669),"Objetivo",IF(_motor!$F$642&gt;=_motor!$B$669,"Resultado","Autónoma")))))))</f>
        <v/>
      </c>
      <c r="K62" s="2" t="str">
        <f>IF(_motor!$B$642=0,"",_motor!$M$642-_motor!$O$642)</f>
        <v/>
      </c>
      <c r="L62" s="2" t="str">
        <f>IF(_motor!$B$642=0,"",IF(_motor!$O$642&lt;_motor!$M$642-2,"▲ VARIABLE OCULTA (sube "&amp;TEXT(_motor!$M$642-_motor!$O$642,"0")&amp;" puestos)",IF(_motor!$O$642&gt;_motor!$M$642+2,"▼ Sobrevalorada en directo (baja "&amp;TEXT(_motor!$O$642-_motor!$M$642,"0")&amp;")","= Estable")))</f>
        <v/>
      </c>
    </row>
    <row r="63" spans="1:12" x14ac:dyDescent="0.2">
      <c r="A63" s="6" t="str">
        <f>IF(_motor!$B$643=0,"",'02 · Variables'!$B$64)</f>
        <v/>
      </c>
      <c r="B63" s="2" t="str">
        <f>IF(_motor!$B$643=0,"",'02 · Variables'!$C$64)</f>
        <v/>
      </c>
      <c r="C63" s="9" t="str">
        <f>IF(_motor!$B$643=0,"",_motor!$E$643)</f>
        <v/>
      </c>
      <c r="D63" s="9" t="str">
        <f>IF(_motor!$B$643=0,"",_motor!$F$643)</f>
        <v/>
      </c>
      <c r="E63" s="8" t="str">
        <f>IF(OR(_motor!$B$643=0,_motor!$B$673=0),"",_motor!$E$643/_motor!$B$673)</f>
        <v/>
      </c>
      <c r="F63" s="8" t="str">
        <f>IF(OR(_motor!$B$643=0,_motor!$B$673=0),"",_motor!$F$643/_motor!$B$673)</f>
        <v/>
      </c>
      <c r="G63" s="7" t="str">
        <f>IF(_motor!$B$643=0,"",SUMPRODUCT(_motor!$B$586:$B$665*(_motor!$E$586:$E$665&gt;_motor!$E$643))+(SUMPRODUCT(_motor!$B$586:$B$665*(_motor!$E$586:$E$665=_motor!$E$643))+1)/2)</f>
        <v/>
      </c>
      <c r="H63" s="7" t="str">
        <f>IF(_motor!$B$643=0,"",SUMPRODUCT(_motor!$B$586:$B$665*(_motor!$F$586:$F$665&gt;_motor!$F$643))+(SUMPRODUCT(_motor!$B$586:$B$665*(_motor!$F$586:$F$665=_motor!$F$643))+1)/2)</f>
        <v/>
      </c>
      <c r="I63" s="2" t="str">
        <f>IF(_motor!$B$643=0,"",IF(AND(ABS(_motor!$E$643-_motor!$B$669)&lt;=_motor!$B$677+0.000000001,ABS(_motor!$F$643-_motor!$B$669)&lt;=_motor!$B$677+0.000000001),"5 · Pelotón (no concluyente)",IF(AND(_motor!$E$643&gt;=_motor!$B$669,_motor!$F$643&lt;_motor!$B$669),"1 · Entrada / determinante",IF(AND(_motor!$E$643&gt;=_motor!$B$669,_motor!$F$643&gt;=_motor!$B$669),"2 · Intermedia / de enlace",IF(AND(_motor!$E$643&lt;_motor!$B$669,_motor!$F$643&gt;=_motor!$B$669),"3 · Resultado","4 · Excluida / autónoma")))))</f>
        <v/>
      </c>
      <c r="J63" s="2" t="str">
        <f>IF(_motor!$B$643=0,"",IF(AND(ABS(_motor!$E$643-_motor!$B$669)&lt;=_motor!$B$677+0.000000001,ABS(_motor!$F$643-_motor!$B$669)&lt;=_motor!$B$677+0.000000001),"Reguladora",IF(AND(_motor!$E$643&gt;=_motor!$B$669,_motor!$F$643&lt;0.5*_motor!$B$669),"Determinante / entorno",IF(AND(_motor!$E$643&gt;=_motor!$B$669,_motor!$F$643&lt;_motor!$B$669),"Palanca secundaria",IF(AND(_motor!$E$643&gt;=_motor!$B$669,_motor!$F$643&gt;=_motor!$B$669),"Clave / de enlace",IF(AND(_motor!$F$643&gt;=_motor!$B$669,_motor!$E$643&gt;=0.5*_motor!$B$669),"Objetivo",IF(_motor!$F$643&gt;=_motor!$B$669,"Resultado","Autónoma")))))))</f>
        <v/>
      </c>
      <c r="K63" s="2" t="str">
        <f>IF(_motor!$B$643=0,"",_motor!$M$643-_motor!$O$643)</f>
        <v/>
      </c>
      <c r="L63" s="2" t="str">
        <f>IF(_motor!$B$643=0,"",IF(_motor!$O$643&lt;_motor!$M$643-2,"▲ VARIABLE OCULTA (sube "&amp;TEXT(_motor!$M$643-_motor!$O$643,"0")&amp;" puestos)",IF(_motor!$O$643&gt;_motor!$M$643+2,"▼ Sobrevalorada en directo (baja "&amp;TEXT(_motor!$O$643-_motor!$M$643,"0")&amp;")","= Estable")))</f>
        <v/>
      </c>
    </row>
    <row r="64" spans="1:12" x14ac:dyDescent="0.2">
      <c r="A64" s="6" t="str">
        <f>IF(_motor!$B$644=0,"",'02 · Variables'!$B$65)</f>
        <v/>
      </c>
      <c r="B64" s="2" t="str">
        <f>IF(_motor!$B$644=0,"",'02 · Variables'!$C$65)</f>
        <v/>
      </c>
      <c r="C64" s="9" t="str">
        <f>IF(_motor!$B$644=0,"",_motor!$E$644)</f>
        <v/>
      </c>
      <c r="D64" s="9" t="str">
        <f>IF(_motor!$B$644=0,"",_motor!$F$644)</f>
        <v/>
      </c>
      <c r="E64" s="8" t="str">
        <f>IF(OR(_motor!$B$644=0,_motor!$B$673=0),"",_motor!$E$644/_motor!$B$673)</f>
        <v/>
      </c>
      <c r="F64" s="8" t="str">
        <f>IF(OR(_motor!$B$644=0,_motor!$B$673=0),"",_motor!$F$644/_motor!$B$673)</f>
        <v/>
      </c>
      <c r="G64" s="7" t="str">
        <f>IF(_motor!$B$644=0,"",SUMPRODUCT(_motor!$B$586:$B$665*(_motor!$E$586:$E$665&gt;_motor!$E$644))+(SUMPRODUCT(_motor!$B$586:$B$665*(_motor!$E$586:$E$665=_motor!$E$644))+1)/2)</f>
        <v/>
      </c>
      <c r="H64" s="7" t="str">
        <f>IF(_motor!$B$644=0,"",SUMPRODUCT(_motor!$B$586:$B$665*(_motor!$F$586:$F$665&gt;_motor!$F$644))+(SUMPRODUCT(_motor!$B$586:$B$665*(_motor!$F$586:$F$665=_motor!$F$644))+1)/2)</f>
        <v/>
      </c>
      <c r="I64" s="2" t="str">
        <f>IF(_motor!$B$644=0,"",IF(AND(ABS(_motor!$E$644-_motor!$B$669)&lt;=_motor!$B$677+0.000000001,ABS(_motor!$F$644-_motor!$B$669)&lt;=_motor!$B$677+0.000000001),"5 · Pelotón (no concluyente)",IF(AND(_motor!$E$644&gt;=_motor!$B$669,_motor!$F$644&lt;_motor!$B$669),"1 · Entrada / determinante",IF(AND(_motor!$E$644&gt;=_motor!$B$669,_motor!$F$644&gt;=_motor!$B$669),"2 · Intermedia / de enlace",IF(AND(_motor!$E$644&lt;_motor!$B$669,_motor!$F$644&gt;=_motor!$B$669),"3 · Resultado","4 · Excluida / autónoma")))))</f>
        <v/>
      </c>
      <c r="J64" s="2" t="str">
        <f>IF(_motor!$B$644=0,"",IF(AND(ABS(_motor!$E$644-_motor!$B$669)&lt;=_motor!$B$677+0.000000001,ABS(_motor!$F$644-_motor!$B$669)&lt;=_motor!$B$677+0.000000001),"Reguladora",IF(AND(_motor!$E$644&gt;=_motor!$B$669,_motor!$F$644&lt;0.5*_motor!$B$669),"Determinante / entorno",IF(AND(_motor!$E$644&gt;=_motor!$B$669,_motor!$F$644&lt;_motor!$B$669),"Palanca secundaria",IF(AND(_motor!$E$644&gt;=_motor!$B$669,_motor!$F$644&gt;=_motor!$B$669),"Clave / de enlace",IF(AND(_motor!$F$644&gt;=_motor!$B$669,_motor!$E$644&gt;=0.5*_motor!$B$669),"Objetivo",IF(_motor!$F$644&gt;=_motor!$B$669,"Resultado","Autónoma")))))))</f>
        <v/>
      </c>
      <c r="K64" s="2" t="str">
        <f>IF(_motor!$B$644=0,"",_motor!$M$644-_motor!$O$644)</f>
        <v/>
      </c>
      <c r="L64" s="2" t="str">
        <f>IF(_motor!$B$644=0,"",IF(_motor!$O$644&lt;_motor!$M$644-2,"▲ VARIABLE OCULTA (sube "&amp;TEXT(_motor!$M$644-_motor!$O$644,"0")&amp;" puestos)",IF(_motor!$O$644&gt;_motor!$M$644+2,"▼ Sobrevalorada en directo (baja "&amp;TEXT(_motor!$O$644-_motor!$M$644,"0")&amp;")","= Estable")))</f>
        <v/>
      </c>
    </row>
    <row r="65" spans="1:12" x14ac:dyDescent="0.2">
      <c r="A65" s="6" t="str">
        <f>IF(_motor!$B$645=0,"",'02 · Variables'!$B$66)</f>
        <v/>
      </c>
      <c r="B65" s="2" t="str">
        <f>IF(_motor!$B$645=0,"",'02 · Variables'!$C$66)</f>
        <v/>
      </c>
      <c r="C65" s="9" t="str">
        <f>IF(_motor!$B$645=0,"",_motor!$E$645)</f>
        <v/>
      </c>
      <c r="D65" s="9" t="str">
        <f>IF(_motor!$B$645=0,"",_motor!$F$645)</f>
        <v/>
      </c>
      <c r="E65" s="8" t="str">
        <f>IF(OR(_motor!$B$645=0,_motor!$B$673=0),"",_motor!$E$645/_motor!$B$673)</f>
        <v/>
      </c>
      <c r="F65" s="8" t="str">
        <f>IF(OR(_motor!$B$645=0,_motor!$B$673=0),"",_motor!$F$645/_motor!$B$673)</f>
        <v/>
      </c>
      <c r="G65" s="7" t="str">
        <f>IF(_motor!$B$645=0,"",SUMPRODUCT(_motor!$B$586:$B$665*(_motor!$E$586:$E$665&gt;_motor!$E$645))+(SUMPRODUCT(_motor!$B$586:$B$665*(_motor!$E$586:$E$665=_motor!$E$645))+1)/2)</f>
        <v/>
      </c>
      <c r="H65" s="7" t="str">
        <f>IF(_motor!$B$645=0,"",SUMPRODUCT(_motor!$B$586:$B$665*(_motor!$F$586:$F$665&gt;_motor!$F$645))+(SUMPRODUCT(_motor!$B$586:$B$665*(_motor!$F$586:$F$665=_motor!$F$645))+1)/2)</f>
        <v/>
      </c>
      <c r="I65" s="2" t="str">
        <f>IF(_motor!$B$645=0,"",IF(AND(ABS(_motor!$E$645-_motor!$B$669)&lt;=_motor!$B$677+0.000000001,ABS(_motor!$F$645-_motor!$B$669)&lt;=_motor!$B$677+0.000000001),"5 · Pelotón (no concluyente)",IF(AND(_motor!$E$645&gt;=_motor!$B$669,_motor!$F$645&lt;_motor!$B$669),"1 · Entrada / determinante",IF(AND(_motor!$E$645&gt;=_motor!$B$669,_motor!$F$645&gt;=_motor!$B$669),"2 · Intermedia / de enlace",IF(AND(_motor!$E$645&lt;_motor!$B$669,_motor!$F$645&gt;=_motor!$B$669),"3 · Resultado","4 · Excluida / autónoma")))))</f>
        <v/>
      </c>
      <c r="J65" s="2" t="str">
        <f>IF(_motor!$B$645=0,"",IF(AND(ABS(_motor!$E$645-_motor!$B$669)&lt;=_motor!$B$677+0.000000001,ABS(_motor!$F$645-_motor!$B$669)&lt;=_motor!$B$677+0.000000001),"Reguladora",IF(AND(_motor!$E$645&gt;=_motor!$B$669,_motor!$F$645&lt;0.5*_motor!$B$669),"Determinante / entorno",IF(AND(_motor!$E$645&gt;=_motor!$B$669,_motor!$F$645&lt;_motor!$B$669),"Palanca secundaria",IF(AND(_motor!$E$645&gt;=_motor!$B$669,_motor!$F$645&gt;=_motor!$B$669),"Clave / de enlace",IF(AND(_motor!$F$645&gt;=_motor!$B$669,_motor!$E$645&gt;=0.5*_motor!$B$669),"Objetivo",IF(_motor!$F$645&gt;=_motor!$B$669,"Resultado","Autónoma")))))))</f>
        <v/>
      </c>
      <c r="K65" s="2" t="str">
        <f>IF(_motor!$B$645=0,"",_motor!$M$645-_motor!$O$645)</f>
        <v/>
      </c>
      <c r="L65" s="2" t="str">
        <f>IF(_motor!$B$645=0,"",IF(_motor!$O$645&lt;_motor!$M$645-2,"▲ VARIABLE OCULTA (sube "&amp;TEXT(_motor!$M$645-_motor!$O$645,"0")&amp;" puestos)",IF(_motor!$O$645&gt;_motor!$M$645+2,"▼ Sobrevalorada en directo (baja "&amp;TEXT(_motor!$O$645-_motor!$M$645,"0")&amp;")","= Estable")))</f>
        <v/>
      </c>
    </row>
    <row r="66" spans="1:12" x14ac:dyDescent="0.2">
      <c r="A66" s="6" t="str">
        <f>IF(_motor!$B$646=0,"",'02 · Variables'!$B$67)</f>
        <v/>
      </c>
      <c r="B66" s="2" t="str">
        <f>IF(_motor!$B$646=0,"",'02 · Variables'!$C$67)</f>
        <v/>
      </c>
      <c r="C66" s="9" t="str">
        <f>IF(_motor!$B$646=0,"",_motor!$E$646)</f>
        <v/>
      </c>
      <c r="D66" s="9" t="str">
        <f>IF(_motor!$B$646=0,"",_motor!$F$646)</f>
        <v/>
      </c>
      <c r="E66" s="8" t="str">
        <f>IF(OR(_motor!$B$646=0,_motor!$B$673=0),"",_motor!$E$646/_motor!$B$673)</f>
        <v/>
      </c>
      <c r="F66" s="8" t="str">
        <f>IF(OR(_motor!$B$646=0,_motor!$B$673=0),"",_motor!$F$646/_motor!$B$673)</f>
        <v/>
      </c>
      <c r="G66" s="7" t="str">
        <f>IF(_motor!$B$646=0,"",SUMPRODUCT(_motor!$B$586:$B$665*(_motor!$E$586:$E$665&gt;_motor!$E$646))+(SUMPRODUCT(_motor!$B$586:$B$665*(_motor!$E$586:$E$665=_motor!$E$646))+1)/2)</f>
        <v/>
      </c>
      <c r="H66" s="7" t="str">
        <f>IF(_motor!$B$646=0,"",SUMPRODUCT(_motor!$B$586:$B$665*(_motor!$F$586:$F$665&gt;_motor!$F$646))+(SUMPRODUCT(_motor!$B$586:$B$665*(_motor!$F$586:$F$665=_motor!$F$646))+1)/2)</f>
        <v/>
      </c>
      <c r="I66" s="2" t="str">
        <f>IF(_motor!$B$646=0,"",IF(AND(ABS(_motor!$E$646-_motor!$B$669)&lt;=_motor!$B$677+0.000000001,ABS(_motor!$F$646-_motor!$B$669)&lt;=_motor!$B$677+0.000000001),"5 · Pelotón (no concluyente)",IF(AND(_motor!$E$646&gt;=_motor!$B$669,_motor!$F$646&lt;_motor!$B$669),"1 · Entrada / determinante",IF(AND(_motor!$E$646&gt;=_motor!$B$669,_motor!$F$646&gt;=_motor!$B$669),"2 · Intermedia / de enlace",IF(AND(_motor!$E$646&lt;_motor!$B$669,_motor!$F$646&gt;=_motor!$B$669),"3 · Resultado","4 · Excluida / autónoma")))))</f>
        <v/>
      </c>
      <c r="J66" s="2" t="str">
        <f>IF(_motor!$B$646=0,"",IF(AND(ABS(_motor!$E$646-_motor!$B$669)&lt;=_motor!$B$677+0.000000001,ABS(_motor!$F$646-_motor!$B$669)&lt;=_motor!$B$677+0.000000001),"Reguladora",IF(AND(_motor!$E$646&gt;=_motor!$B$669,_motor!$F$646&lt;0.5*_motor!$B$669),"Determinante / entorno",IF(AND(_motor!$E$646&gt;=_motor!$B$669,_motor!$F$646&lt;_motor!$B$669),"Palanca secundaria",IF(AND(_motor!$E$646&gt;=_motor!$B$669,_motor!$F$646&gt;=_motor!$B$669),"Clave / de enlace",IF(AND(_motor!$F$646&gt;=_motor!$B$669,_motor!$E$646&gt;=0.5*_motor!$B$669),"Objetivo",IF(_motor!$F$646&gt;=_motor!$B$669,"Resultado","Autónoma")))))))</f>
        <v/>
      </c>
      <c r="K66" s="2" t="str">
        <f>IF(_motor!$B$646=0,"",_motor!$M$646-_motor!$O$646)</f>
        <v/>
      </c>
      <c r="L66" s="2" t="str">
        <f>IF(_motor!$B$646=0,"",IF(_motor!$O$646&lt;_motor!$M$646-2,"▲ VARIABLE OCULTA (sube "&amp;TEXT(_motor!$M$646-_motor!$O$646,"0")&amp;" puestos)",IF(_motor!$O$646&gt;_motor!$M$646+2,"▼ Sobrevalorada en directo (baja "&amp;TEXT(_motor!$O$646-_motor!$M$646,"0")&amp;")","= Estable")))</f>
        <v/>
      </c>
    </row>
    <row r="67" spans="1:12" x14ac:dyDescent="0.2">
      <c r="A67" s="6" t="str">
        <f>IF(_motor!$B$647=0,"",'02 · Variables'!$B$68)</f>
        <v/>
      </c>
      <c r="B67" s="2" t="str">
        <f>IF(_motor!$B$647=0,"",'02 · Variables'!$C$68)</f>
        <v/>
      </c>
      <c r="C67" s="9" t="str">
        <f>IF(_motor!$B$647=0,"",_motor!$E$647)</f>
        <v/>
      </c>
      <c r="D67" s="9" t="str">
        <f>IF(_motor!$B$647=0,"",_motor!$F$647)</f>
        <v/>
      </c>
      <c r="E67" s="8" t="str">
        <f>IF(OR(_motor!$B$647=0,_motor!$B$673=0),"",_motor!$E$647/_motor!$B$673)</f>
        <v/>
      </c>
      <c r="F67" s="8" t="str">
        <f>IF(OR(_motor!$B$647=0,_motor!$B$673=0),"",_motor!$F$647/_motor!$B$673)</f>
        <v/>
      </c>
      <c r="G67" s="7" t="str">
        <f>IF(_motor!$B$647=0,"",SUMPRODUCT(_motor!$B$586:$B$665*(_motor!$E$586:$E$665&gt;_motor!$E$647))+(SUMPRODUCT(_motor!$B$586:$B$665*(_motor!$E$586:$E$665=_motor!$E$647))+1)/2)</f>
        <v/>
      </c>
      <c r="H67" s="7" t="str">
        <f>IF(_motor!$B$647=0,"",SUMPRODUCT(_motor!$B$586:$B$665*(_motor!$F$586:$F$665&gt;_motor!$F$647))+(SUMPRODUCT(_motor!$B$586:$B$665*(_motor!$F$586:$F$665=_motor!$F$647))+1)/2)</f>
        <v/>
      </c>
      <c r="I67" s="2" t="str">
        <f>IF(_motor!$B$647=0,"",IF(AND(ABS(_motor!$E$647-_motor!$B$669)&lt;=_motor!$B$677+0.000000001,ABS(_motor!$F$647-_motor!$B$669)&lt;=_motor!$B$677+0.000000001),"5 · Pelotón (no concluyente)",IF(AND(_motor!$E$647&gt;=_motor!$B$669,_motor!$F$647&lt;_motor!$B$669),"1 · Entrada / determinante",IF(AND(_motor!$E$647&gt;=_motor!$B$669,_motor!$F$647&gt;=_motor!$B$669),"2 · Intermedia / de enlace",IF(AND(_motor!$E$647&lt;_motor!$B$669,_motor!$F$647&gt;=_motor!$B$669),"3 · Resultado","4 · Excluida / autónoma")))))</f>
        <v/>
      </c>
      <c r="J67" s="2" t="str">
        <f>IF(_motor!$B$647=0,"",IF(AND(ABS(_motor!$E$647-_motor!$B$669)&lt;=_motor!$B$677+0.000000001,ABS(_motor!$F$647-_motor!$B$669)&lt;=_motor!$B$677+0.000000001),"Reguladora",IF(AND(_motor!$E$647&gt;=_motor!$B$669,_motor!$F$647&lt;0.5*_motor!$B$669),"Determinante / entorno",IF(AND(_motor!$E$647&gt;=_motor!$B$669,_motor!$F$647&lt;_motor!$B$669),"Palanca secundaria",IF(AND(_motor!$E$647&gt;=_motor!$B$669,_motor!$F$647&gt;=_motor!$B$669),"Clave / de enlace",IF(AND(_motor!$F$647&gt;=_motor!$B$669,_motor!$E$647&gt;=0.5*_motor!$B$669),"Objetivo",IF(_motor!$F$647&gt;=_motor!$B$669,"Resultado","Autónoma")))))))</f>
        <v/>
      </c>
      <c r="K67" s="2" t="str">
        <f>IF(_motor!$B$647=0,"",_motor!$M$647-_motor!$O$647)</f>
        <v/>
      </c>
      <c r="L67" s="2" t="str">
        <f>IF(_motor!$B$647=0,"",IF(_motor!$O$647&lt;_motor!$M$647-2,"▲ VARIABLE OCULTA (sube "&amp;TEXT(_motor!$M$647-_motor!$O$647,"0")&amp;" puestos)",IF(_motor!$O$647&gt;_motor!$M$647+2,"▼ Sobrevalorada en directo (baja "&amp;TEXT(_motor!$O$647-_motor!$M$647,"0")&amp;")","= Estable")))</f>
        <v/>
      </c>
    </row>
    <row r="68" spans="1:12" x14ac:dyDescent="0.2">
      <c r="A68" s="6" t="str">
        <f>IF(_motor!$B$648=0,"",'02 · Variables'!$B$69)</f>
        <v/>
      </c>
      <c r="B68" s="2" t="str">
        <f>IF(_motor!$B$648=0,"",'02 · Variables'!$C$69)</f>
        <v/>
      </c>
      <c r="C68" s="9" t="str">
        <f>IF(_motor!$B$648=0,"",_motor!$E$648)</f>
        <v/>
      </c>
      <c r="D68" s="9" t="str">
        <f>IF(_motor!$B$648=0,"",_motor!$F$648)</f>
        <v/>
      </c>
      <c r="E68" s="8" t="str">
        <f>IF(OR(_motor!$B$648=0,_motor!$B$673=0),"",_motor!$E$648/_motor!$B$673)</f>
        <v/>
      </c>
      <c r="F68" s="8" t="str">
        <f>IF(OR(_motor!$B$648=0,_motor!$B$673=0),"",_motor!$F$648/_motor!$B$673)</f>
        <v/>
      </c>
      <c r="G68" s="7" t="str">
        <f>IF(_motor!$B$648=0,"",SUMPRODUCT(_motor!$B$586:$B$665*(_motor!$E$586:$E$665&gt;_motor!$E$648))+(SUMPRODUCT(_motor!$B$586:$B$665*(_motor!$E$586:$E$665=_motor!$E$648))+1)/2)</f>
        <v/>
      </c>
      <c r="H68" s="7" t="str">
        <f>IF(_motor!$B$648=0,"",SUMPRODUCT(_motor!$B$586:$B$665*(_motor!$F$586:$F$665&gt;_motor!$F$648))+(SUMPRODUCT(_motor!$B$586:$B$665*(_motor!$F$586:$F$665=_motor!$F$648))+1)/2)</f>
        <v/>
      </c>
      <c r="I68" s="2" t="str">
        <f>IF(_motor!$B$648=0,"",IF(AND(ABS(_motor!$E$648-_motor!$B$669)&lt;=_motor!$B$677+0.000000001,ABS(_motor!$F$648-_motor!$B$669)&lt;=_motor!$B$677+0.000000001),"5 · Pelotón (no concluyente)",IF(AND(_motor!$E$648&gt;=_motor!$B$669,_motor!$F$648&lt;_motor!$B$669),"1 · Entrada / determinante",IF(AND(_motor!$E$648&gt;=_motor!$B$669,_motor!$F$648&gt;=_motor!$B$669),"2 · Intermedia / de enlace",IF(AND(_motor!$E$648&lt;_motor!$B$669,_motor!$F$648&gt;=_motor!$B$669),"3 · Resultado","4 · Excluida / autónoma")))))</f>
        <v/>
      </c>
      <c r="J68" s="2" t="str">
        <f>IF(_motor!$B$648=0,"",IF(AND(ABS(_motor!$E$648-_motor!$B$669)&lt;=_motor!$B$677+0.000000001,ABS(_motor!$F$648-_motor!$B$669)&lt;=_motor!$B$677+0.000000001),"Reguladora",IF(AND(_motor!$E$648&gt;=_motor!$B$669,_motor!$F$648&lt;0.5*_motor!$B$669),"Determinante / entorno",IF(AND(_motor!$E$648&gt;=_motor!$B$669,_motor!$F$648&lt;_motor!$B$669),"Palanca secundaria",IF(AND(_motor!$E$648&gt;=_motor!$B$669,_motor!$F$648&gt;=_motor!$B$669),"Clave / de enlace",IF(AND(_motor!$F$648&gt;=_motor!$B$669,_motor!$E$648&gt;=0.5*_motor!$B$669),"Objetivo",IF(_motor!$F$648&gt;=_motor!$B$669,"Resultado","Autónoma")))))))</f>
        <v/>
      </c>
      <c r="K68" s="2" t="str">
        <f>IF(_motor!$B$648=0,"",_motor!$M$648-_motor!$O$648)</f>
        <v/>
      </c>
      <c r="L68" s="2" t="str">
        <f>IF(_motor!$B$648=0,"",IF(_motor!$O$648&lt;_motor!$M$648-2,"▲ VARIABLE OCULTA (sube "&amp;TEXT(_motor!$M$648-_motor!$O$648,"0")&amp;" puestos)",IF(_motor!$O$648&gt;_motor!$M$648+2,"▼ Sobrevalorada en directo (baja "&amp;TEXT(_motor!$O$648-_motor!$M$648,"0")&amp;")","= Estable")))</f>
        <v/>
      </c>
    </row>
    <row r="69" spans="1:12" x14ac:dyDescent="0.2">
      <c r="A69" s="6" t="str">
        <f>IF(_motor!$B$649=0,"",'02 · Variables'!$B$70)</f>
        <v/>
      </c>
      <c r="B69" s="2" t="str">
        <f>IF(_motor!$B$649=0,"",'02 · Variables'!$C$70)</f>
        <v/>
      </c>
      <c r="C69" s="9" t="str">
        <f>IF(_motor!$B$649=0,"",_motor!$E$649)</f>
        <v/>
      </c>
      <c r="D69" s="9" t="str">
        <f>IF(_motor!$B$649=0,"",_motor!$F$649)</f>
        <v/>
      </c>
      <c r="E69" s="8" t="str">
        <f>IF(OR(_motor!$B$649=0,_motor!$B$673=0),"",_motor!$E$649/_motor!$B$673)</f>
        <v/>
      </c>
      <c r="F69" s="8" t="str">
        <f>IF(OR(_motor!$B$649=0,_motor!$B$673=0),"",_motor!$F$649/_motor!$B$673)</f>
        <v/>
      </c>
      <c r="G69" s="7" t="str">
        <f>IF(_motor!$B$649=0,"",SUMPRODUCT(_motor!$B$586:$B$665*(_motor!$E$586:$E$665&gt;_motor!$E$649))+(SUMPRODUCT(_motor!$B$586:$B$665*(_motor!$E$586:$E$665=_motor!$E$649))+1)/2)</f>
        <v/>
      </c>
      <c r="H69" s="7" t="str">
        <f>IF(_motor!$B$649=0,"",SUMPRODUCT(_motor!$B$586:$B$665*(_motor!$F$586:$F$665&gt;_motor!$F$649))+(SUMPRODUCT(_motor!$B$586:$B$665*(_motor!$F$586:$F$665=_motor!$F$649))+1)/2)</f>
        <v/>
      </c>
      <c r="I69" s="2" t="str">
        <f>IF(_motor!$B$649=0,"",IF(AND(ABS(_motor!$E$649-_motor!$B$669)&lt;=_motor!$B$677+0.000000001,ABS(_motor!$F$649-_motor!$B$669)&lt;=_motor!$B$677+0.000000001),"5 · Pelotón (no concluyente)",IF(AND(_motor!$E$649&gt;=_motor!$B$669,_motor!$F$649&lt;_motor!$B$669),"1 · Entrada / determinante",IF(AND(_motor!$E$649&gt;=_motor!$B$669,_motor!$F$649&gt;=_motor!$B$669),"2 · Intermedia / de enlace",IF(AND(_motor!$E$649&lt;_motor!$B$669,_motor!$F$649&gt;=_motor!$B$669),"3 · Resultado","4 · Excluida / autónoma")))))</f>
        <v/>
      </c>
      <c r="J69" s="2" t="str">
        <f>IF(_motor!$B$649=0,"",IF(AND(ABS(_motor!$E$649-_motor!$B$669)&lt;=_motor!$B$677+0.000000001,ABS(_motor!$F$649-_motor!$B$669)&lt;=_motor!$B$677+0.000000001),"Reguladora",IF(AND(_motor!$E$649&gt;=_motor!$B$669,_motor!$F$649&lt;0.5*_motor!$B$669),"Determinante / entorno",IF(AND(_motor!$E$649&gt;=_motor!$B$669,_motor!$F$649&lt;_motor!$B$669),"Palanca secundaria",IF(AND(_motor!$E$649&gt;=_motor!$B$669,_motor!$F$649&gt;=_motor!$B$669),"Clave / de enlace",IF(AND(_motor!$F$649&gt;=_motor!$B$669,_motor!$E$649&gt;=0.5*_motor!$B$669),"Objetivo",IF(_motor!$F$649&gt;=_motor!$B$669,"Resultado","Autónoma")))))))</f>
        <v/>
      </c>
      <c r="K69" s="2" t="str">
        <f>IF(_motor!$B$649=0,"",_motor!$M$649-_motor!$O$649)</f>
        <v/>
      </c>
      <c r="L69" s="2" t="str">
        <f>IF(_motor!$B$649=0,"",IF(_motor!$O$649&lt;_motor!$M$649-2,"▲ VARIABLE OCULTA (sube "&amp;TEXT(_motor!$M$649-_motor!$O$649,"0")&amp;" puestos)",IF(_motor!$O$649&gt;_motor!$M$649+2,"▼ Sobrevalorada en directo (baja "&amp;TEXT(_motor!$O$649-_motor!$M$649,"0")&amp;")","= Estable")))</f>
        <v/>
      </c>
    </row>
    <row r="70" spans="1:12" x14ac:dyDescent="0.2">
      <c r="A70" s="6" t="str">
        <f>IF(_motor!$B$650=0,"",'02 · Variables'!$B$71)</f>
        <v/>
      </c>
      <c r="B70" s="2" t="str">
        <f>IF(_motor!$B$650=0,"",'02 · Variables'!$C$71)</f>
        <v/>
      </c>
      <c r="C70" s="9" t="str">
        <f>IF(_motor!$B$650=0,"",_motor!$E$650)</f>
        <v/>
      </c>
      <c r="D70" s="9" t="str">
        <f>IF(_motor!$B$650=0,"",_motor!$F$650)</f>
        <v/>
      </c>
      <c r="E70" s="8" t="str">
        <f>IF(OR(_motor!$B$650=0,_motor!$B$673=0),"",_motor!$E$650/_motor!$B$673)</f>
        <v/>
      </c>
      <c r="F70" s="8" t="str">
        <f>IF(OR(_motor!$B$650=0,_motor!$B$673=0),"",_motor!$F$650/_motor!$B$673)</f>
        <v/>
      </c>
      <c r="G70" s="7" t="str">
        <f>IF(_motor!$B$650=0,"",SUMPRODUCT(_motor!$B$586:$B$665*(_motor!$E$586:$E$665&gt;_motor!$E$650))+(SUMPRODUCT(_motor!$B$586:$B$665*(_motor!$E$586:$E$665=_motor!$E$650))+1)/2)</f>
        <v/>
      </c>
      <c r="H70" s="7" t="str">
        <f>IF(_motor!$B$650=0,"",SUMPRODUCT(_motor!$B$586:$B$665*(_motor!$F$586:$F$665&gt;_motor!$F$650))+(SUMPRODUCT(_motor!$B$586:$B$665*(_motor!$F$586:$F$665=_motor!$F$650))+1)/2)</f>
        <v/>
      </c>
      <c r="I70" s="2" t="str">
        <f>IF(_motor!$B$650=0,"",IF(AND(ABS(_motor!$E$650-_motor!$B$669)&lt;=_motor!$B$677+0.000000001,ABS(_motor!$F$650-_motor!$B$669)&lt;=_motor!$B$677+0.000000001),"5 · Pelotón (no concluyente)",IF(AND(_motor!$E$650&gt;=_motor!$B$669,_motor!$F$650&lt;_motor!$B$669),"1 · Entrada / determinante",IF(AND(_motor!$E$650&gt;=_motor!$B$669,_motor!$F$650&gt;=_motor!$B$669),"2 · Intermedia / de enlace",IF(AND(_motor!$E$650&lt;_motor!$B$669,_motor!$F$650&gt;=_motor!$B$669),"3 · Resultado","4 · Excluida / autónoma")))))</f>
        <v/>
      </c>
      <c r="J70" s="2" t="str">
        <f>IF(_motor!$B$650=0,"",IF(AND(ABS(_motor!$E$650-_motor!$B$669)&lt;=_motor!$B$677+0.000000001,ABS(_motor!$F$650-_motor!$B$669)&lt;=_motor!$B$677+0.000000001),"Reguladora",IF(AND(_motor!$E$650&gt;=_motor!$B$669,_motor!$F$650&lt;0.5*_motor!$B$669),"Determinante / entorno",IF(AND(_motor!$E$650&gt;=_motor!$B$669,_motor!$F$650&lt;_motor!$B$669),"Palanca secundaria",IF(AND(_motor!$E$650&gt;=_motor!$B$669,_motor!$F$650&gt;=_motor!$B$669),"Clave / de enlace",IF(AND(_motor!$F$650&gt;=_motor!$B$669,_motor!$E$650&gt;=0.5*_motor!$B$669),"Objetivo",IF(_motor!$F$650&gt;=_motor!$B$669,"Resultado","Autónoma")))))))</f>
        <v/>
      </c>
      <c r="K70" s="2" t="str">
        <f>IF(_motor!$B$650=0,"",_motor!$M$650-_motor!$O$650)</f>
        <v/>
      </c>
      <c r="L70" s="2" t="str">
        <f>IF(_motor!$B$650=0,"",IF(_motor!$O$650&lt;_motor!$M$650-2,"▲ VARIABLE OCULTA (sube "&amp;TEXT(_motor!$M$650-_motor!$O$650,"0")&amp;" puestos)",IF(_motor!$O$650&gt;_motor!$M$650+2,"▼ Sobrevalorada en directo (baja "&amp;TEXT(_motor!$O$650-_motor!$M$650,"0")&amp;")","= Estable")))</f>
        <v/>
      </c>
    </row>
    <row r="71" spans="1:12" x14ac:dyDescent="0.2">
      <c r="A71" s="6" t="str">
        <f>IF(_motor!$B$651=0,"",'02 · Variables'!$B$72)</f>
        <v/>
      </c>
      <c r="B71" s="2" t="str">
        <f>IF(_motor!$B$651=0,"",'02 · Variables'!$C$72)</f>
        <v/>
      </c>
      <c r="C71" s="9" t="str">
        <f>IF(_motor!$B$651=0,"",_motor!$E$651)</f>
        <v/>
      </c>
      <c r="D71" s="9" t="str">
        <f>IF(_motor!$B$651=0,"",_motor!$F$651)</f>
        <v/>
      </c>
      <c r="E71" s="8" t="str">
        <f>IF(OR(_motor!$B$651=0,_motor!$B$673=0),"",_motor!$E$651/_motor!$B$673)</f>
        <v/>
      </c>
      <c r="F71" s="8" t="str">
        <f>IF(OR(_motor!$B$651=0,_motor!$B$673=0),"",_motor!$F$651/_motor!$B$673)</f>
        <v/>
      </c>
      <c r="G71" s="7" t="str">
        <f>IF(_motor!$B$651=0,"",SUMPRODUCT(_motor!$B$586:$B$665*(_motor!$E$586:$E$665&gt;_motor!$E$651))+(SUMPRODUCT(_motor!$B$586:$B$665*(_motor!$E$586:$E$665=_motor!$E$651))+1)/2)</f>
        <v/>
      </c>
      <c r="H71" s="7" t="str">
        <f>IF(_motor!$B$651=0,"",SUMPRODUCT(_motor!$B$586:$B$665*(_motor!$F$586:$F$665&gt;_motor!$F$651))+(SUMPRODUCT(_motor!$B$586:$B$665*(_motor!$F$586:$F$665=_motor!$F$651))+1)/2)</f>
        <v/>
      </c>
      <c r="I71" s="2" t="str">
        <f>IF(_motor!$B$651=0,"",IF(AND(ABS(_motor!$E$651-_motor!$B$669)&lt;=_motor!$B$677+0.000000001,ABS(_motor!$F$651-_motor!$B$669)&lt;=_motor!$B$677+0.000000001),"5 · Pelotón (no concluyente)",IF(AND(_motor!$E$651&gt;=_motor!$B$669,_motor!$F$651&lt;_motor!$B$669),"1 · Entrada / determinante",IF(AND(_motor!$E$651&gt;=_motor!$B$669,_motor!$F$651&gt;=_motor!$B$669),"2 · Intermedia / de enlace",IF(AND(_motor!$E$651&lt;_motor!$B$669,_motor!$F$651&gt;=_motor!$B$669),"3 · Resultado","4 · Excluida / autónoma")))))</f>
        <v/>
      </c>
      <c r="J71" s="2" t="str">
        <f>IF(_motor!$B$651=0,"",IF(AND(ABS(_motor!$E$651-_motor!$B$669)&lt;=_motor!$B$677+0.000000001,ABS(_motor!$F$651-_motor!$B$669)&lt;=_motor!$B$677+0.000000001),"Reguladora",IF(AND(_motor!$E$651&gt;=_motor!$B$669,_motor!$F$651&lt;0.5*_motor!$B$669),"Determinante / entorno",IF(AND(_motor!$E$651&gt;=_motor!$B$669,_motor!$F$651&lt;_motor!$B$669),"Palanca secundaria",IF(AND(_motor!$E$651&gt;=_motor!$B$669,_motor!$F$651&gt;=_motor!$B$669),"Clave / de enlace",IF(AND(_motor!$F$651&gt;=_motor!$B$669,_motor!$E$651&gt;=0.5*_motor!$B$669),"Objetivo",IF(_motor!$F$651&gt;=_motor!$B$669,"Resultado","Autónoma")))))))</f>
        <v/>
      </c>
      <c r="K71" s="2" t="str">
        <f>IF(_motor!$B$651=0,"",_motor!$M$651-_motor!$O$651)</f>
        <v/>
      </c>
      <c r="L71" s="2" t="str">
        <f>IF(_motor!$B$651=0,"",IF(_motor!$O$651&lt;_motor!$M$651-2,"▲ VARIABLE OCULTA (sube "&amp;TEXT(_motor!$M$651-_motor!$O$651,"0")&amp;" puestos)",IF(_motor!$O$651&gt;_motor!$M$651+2,"▼ Sobrevalorada en directo (baja "&amp;TEXT(_motor!$O$651-_motor!$M$651,"0")&amp;")","= Estable")))</f>
        <v/>
      </c>
    </row>
    <row r="72" spans="1:12" x14ac:dyDescent="0.2">
      <c r="A72" s="6" t="str">
        <f>IF(_motor!$B$652=0,"",'02 · Variables'!$B$73)</f>
        <v/>
      </c>
      <c r="B72" s="2" t="str">
        <f>IF(_motor!$B$652=0,"",'02 · Variables'!$C$73)</f>
        <v/>
      </c>
      <c r="C72" s="9" t="str">
        <f>IF(_motor!$B$652=0,"",_motor!$E$652)</f>
        <v/>
      </c>
      <c r="D72" s="9" t="str">
        <f>IF(_motor!$B$652=0,"",_motor!$F$652)</f>
        <v/>
      </c>
      <c r="E72" s="8" t="str">
        <f>IF(OR(_motor!$B$652=0,_motor!$B$673=0),"",_motor!$E$652/_motor!$B$673)</f>
        <v/>
      </c>
      <c r="F72" s="8" t="str">
        <f>IF(OR(_motor!$B$652=0,_motor!$B$673=0),"",_motor!$F$652/_motor!$B$673)</f>
        <v/>
      </c>
      <c r="G72" s="7" t="str">
        <f>IF(_motor!$B$652=0,"",SUMPRODUCT(_motor!$B$586:$B$665*(_motor!$E$586:$E$665&gt;_motor!$E$652))+(SUMPRODUCT(_motor!$B$586:$B$665*(_motor!$E$586:$E$665=_motor!$E$652))+1)/2)</f>
        <v/>
      </c>
      <c r="H72" s="7" t="str">
        <f>IF(_motor!$B$652=0,"",SUMPRODUCT(_motor!$B$586:$B$665*(_motor!$F$586:$F$665&gt;_motor!$F$652))+(SUMPRODUCT(_motor!$B$586:$B$665*(_motor!$F$586:$F$665=_motor!$F$652))+1)/2)</f>
        <v/>
      </c>
      <c r="I72" s="2" t="str">
        <f>IF(_motor!$B$652=0,"",IF(AND(ABS(_motor!$E$652-_motor!$B$669)&lt;=_motor!$B$677+0.000000001,ABS(_motor!$F$652-_motor!$B$669)&lt;=_motor!$B$677+0.000000001),"5 · Pelotón (no concluyente)",IF(AND(_motor!$E$652&gt;=_motor!$B$669,_motor!$F$652&lt;_motor!$B$669),"1 · Entrada / determinante",IF(AND(_motor!$E$652&gt;=_motor!$B$669,_motor!$F$652&gt;=_motor!$B$669),"2 · Intermedia / de enlace",IF(AND(_motor!$E$652&lt;_motor!$B$669,_motor!$F$652&gt;=_motor!$B$669),"3 · Resultado","4 · Excluida / autónoma")))))</f>
        <v/>
      </c>
      <c r="J72" s="2" t="str">
        <f>IF(_motor!$B$652=0,"",IF(AND(ABS(_motor!$E$652-_motor!$B$669)&lt;=_motor!$B$677+0.000000001,ABS(_motor!$F$652-_motor!$B$669)&lt;=_motor!$B$677+0.000000001),"Reguladora",IF(AND(_motor!$E$652&gt;=_motor!$B$669,_motor!$F$652&lt;0.5*_motor!$B$669),"Determinante / entorno",IF(AND(_motor!$E$652&gt;=_motor!$B$669,_motor!$F$652&lt;_motor!$B$669),"Palanca secundaria",IF(AND(_motor!$E$652&gt;=_motor!$B$669,_motor!$F$652&gt;=_motor!$B$669),"Clave / de enlace",IF(AND(_motor!$F$652&gt;=_motor!$B$669,_motor!$E$652&gt;=0.5*_motor!$B$669),"Objetivo",IF(_motor!$F$652&gt;=_motor!$B$669,"Resultado","Autónoma")))))))</f>
        <v/>
      </c>
      <c r="K72" s="2" t="str">
        <f>IF(_motor!$B$652=0,"",_motor!$M$652-_motor!$O$652)</f>
        <v/>
      </c>
      <c r="L72" s="2" t="str">
        <f>IF(_motor!$B$652=0,"",IF(_motor!$O$652&lt;_motor!$M$652-2,"▲ VARIABLE OCULTA (sube "&amp;TEXT(_motor!$M$652-_motor!$O$652,"0")&amp;" puestos)",IF(_motor!$O$652&gt;_motor!$M$652+2,"▼ Sobrevalorada en directo (baja "&amp;TEXT(_motor!$O$652-_motor!$M$652,"0")&amp;")","= Estable")))</f>
        <v/>
      </c>
    </row>
    <row r="73" spans="1:12" x14ac:dyDescent="0.2">
      <c r="A73" s="6" t="str">
        <f>IF(_motor!$B$653=0,"",'02 · Variables'!$B$74)</f>
        <v/>
      </c>
      <c r="B73" s="2" t="str">
        <f>IF(_motor!$B$653=0,"",'02 · Variables'!$C$74)</f>
        <v/>
      </c>
      <c r="C73" s="9" t="str">
        <f>IF(_motor!$B$653=0,"",_motor!$E$653)</f>
        <v/>
      </c>
      <c r="D73" s="9" t="str">
        <f>IF(_motor!$B$653=0,"",_motor!$F$653)</f>
        <v/>
      </c>
      <c r="E73" s="8" t="str">
        <f>IF(OR(_motor!$B$653=0,_motor!$B$673=0),"",_motor!$E$653/_motor!$B$673)</f>
        <v/>
      </c>
      <c r="F73" s="8" t="str">
        <f>IF(OR(_motor!$B$653=0,_motor!$B$673=0),"",_motor!$F$653/_motor!$B$673)</f>
        <v/>
      </c>
      <c r="G73" s="7" t="str">
        <f>IF(_motor!$B$653=0,"",SUMPRODUCT(_motor!$B$586:$B$665*(_motor!$E$586:$E$665&gt;_motor!$E$653))+(SUMPRODUCT(_motor!$B$586:$B$665*(_motor!$E$586:$E$665=_motor!$E$653))+1)/2)</f>
        <v/>
      </c>
      <c r="H73" s="7" t="str">
        <f>IF(_motor!$B$653=0,"",SUMPRODUCT(_motor!$B$586:$B$665*(_motor!$F$586:$F$665&gt;_motor!$F$653))+(SUMPRODUCT(_motor!$B$586:$B$665*(_motor!$F$586:$F$665=_motor!$F$653))+1)/2)</f>
        <v/>
      </c>
      <c r="I73" s="2" t="str">
        <f>IF(_motor!$B$653=0,"",IF(AND(ABS(_motor!$E$653-_motor!$B$669)&lt;=_motor!$B$677+0.000000001,ABS(_motor!$F$653-_motor!$B$669)&lt;=_motor!$B$677+0.000000001),"5 · Pelotón (no concluyente)",IF(AND(_motor!$E$653&gt;=_motor!$B$669,_motor!$F$653&lt;_motor!$B$669),"1 · Entrada / determinante",IF(AND(_motor!$E$653&gt;=_motor!$B$669,_motor!$F$653&gt;=_motor!$B$669),"2 · Intermedia / de enlace",IF(AND(_motor!$E$653&lt;_motor!$B$669,_motor!$F$653&gt;=_motor!$B$669),"3 · Resultado","4 · Excluida / autónoma")))))</f>
        <v/>
      </c>
      <c r="J73" s="2" t="str">
        <f>IF(_motor!$B$653=0,"",IF(AND(ABS(_motor!$E$653-_motor!$B$669)&lt;=_motor!$B$677+0.000000001,ABS(_motor!$F$653-_motor!$B$669)&lt;=_motor!$B$677+0.000000001),"Reguladora",IF(AND(_motor!$E$653&gt;=_motor!$B$669,_motor!$F$653&lt;0.5*_motor!$B$669),"Determinante / entorno",IF(AND(_motor!$E$653&gt;=_motor!$B$669,_motor!$F$653&lt;_motor!$B$669),"Palanca secundaria",IF(AND(_motor!$E$653&gt;=_motor!$B$669,_motor!$F$653&gt;=_motor!$B$669),"Clave / de enlace",IF(AND(_motor!$F$653&gt;=_motor!$B$669,_motor!$E$653&gt;=0.5*_motor!$B$669),"Objetivo",IF(_motor!$F$653&gt;=_motor!$B$669,"Resultado","Autónoma")))))))</f>
        <v/>
      </c>
      <c r="K73" s="2" t="str">
        <f>IF(_motor!$B$653=0,"",_motor!$M$653-_motor!$O$653)</f>
        <v/>
      </c>
      <c r="L73" s="2" t="str">
        <f>IF(_motor!$B$653=0,"",IF(_motor!$O$653&lt;_motor!$M$653-2,"▲ VARIABLE OCULTA (sube "&amp;TEXT(_motor!$M$653-_motor!$O$653,"0")&amp;" puestos)",IF(_motor!$O$653&gt;_motor!$M$653+2,"▼ Sobrevalorada en directo (baja "&amp;TEXT(_motor!$O$653-_motor!$M$653,"0")&amp;")","= Estable")))</f>
        <v/>
      </c>
    </row>
    <row r="74" spans="1:12" x14ac:dyDescent="0.2">
      <c r="A74" s="6" t="str">
        <f>IF(_motor!$B$654=0,"",'02 · Variables'!$B$75)</f>
        <v/>
      </c>
      <c r="B74" s="2" t="str">
        <f>IF(_motor!$B$654=0,"",'02 · Variables'!$C$75)</f>
        <v/>
      </c>
      <c r="C74" s="9" t="str">
        <f>IF(_motor!$B$654=0,"",_motor!$E$654)</f>
        <v/>
      </c>
      <c r="D74" s="9" t="str">
        <f>IF(_motor!$B$654=0,"",_motor!$F$654)</f>
        <v/>
      </c>
      <c r="E74" s="8" t="str">
        <f>IF(OR(_motor!$B$654=0,_motor!$B$673=0),"",_motor!$E$654/_motor!$B$673)</f>
        <v/>
      </c>
      <c r="F74" s="8" t="str">
        <f>IF(OR(_motor!$B$654=0,_motor!$B$673=0),"",_motor!$F$654/_motor!$B$673)</f>
        <v/>
      </c>
      <c r="G74" s="7" t="str">
        <f>IF(_motor!$B$654=0,"",SUMPRODUCT(_motor!$B$586:$B$665*(_motor!$E$586:$E$665&gt;_motor!$E$654))+(SUMPRODUCT(_motor!$B$586:$B$665*(_motor!$E$586:$E$665=_motor!$E$654))+1)/2)</f>
        <v/>
      </c>
      <c r="H74" s="7" t="str">
        <f>IF(_motor!$B$654=0,"",SUMPRODUCT(_motor!$B$586:$B$665*(_motor!$F$586:$F$665&gt;_motor!$F$654))+(SUMPRODUCT(_motor!$B$586:$B$665*(_motor!$F$586:$F$665=_motor!$F$654))+1)/2)</f>
        <v/>
      </c>
      <c r="I74" s="2" t="str">
        <f>IF(_motor!$B$654=0,"",IF(AND(ABS(_motor!$E$654-_motor!$B$669)&lt;=_motor!$B$677+0.000000001,ABS(_motor!$F$654-_motor!$B$669)&lt;=_motor!$B$677+0.000000001),"5 · Pelotón (no concluyente)",IF(AND(_motor!$E$654&gt;=_motor!$B$669,_motor!$F$654&lt;_motor!$B$669),"1 · Entrada / determinante",IF(AND(_motor!$E$654&gt;=_motor!$B$669,_motor!$F$654&gt;=_motor!$B$669),"2 · Intermedia / de enlace",IF(AND(_motor!$E$654&lt;_motor!$B$669,_motor!$F$654&gt;=_motor!$B$669),"3 · Resultado","4 · Excluida / autónoma")))))</f>
        <v/>
      </c>
      <c r="J74" s="2" t="str">
        <f>IF(_motor!$B$654=0,"",IF(AND(ABS(_motor!$E$654-_motor!$B$669)&lt;=_motor!$B$677+0.000000001,ABS(_motor!$F$654-_motor!$B$669)&lt;=_motor!$B$677+0.000000001),"Reguladora",IF(AND(_motor!$E$654&gt;=_motor!$B$669,_motor!$F$654&lt;0.5*_motor!$B$669),"Determinante / entorno",IF(AND(_motor!$E$654&gt;=_motor!$B$669,_motor!$F$654&lt;_motor!$B$669),"Palanca secundaria",IF(AND(_motor!$E$654&gt;=_motor!$B$669,_motor!$F$654&gt;=_motor!$B$669),"Clave / de enlace",IF(AND(_motor!$F$654&gt;=_motor!$B$669,_motor!$E$654&gt;=0.5*_motor!$B$669),"Objetivo",IF(_motor!$F$654&gt;=_motor!$B$669,"Resultado","Autónoma")))))))</f>
        <v/>
      </c>
      <c r="K74" s="2" t="str">
        <f>IF(_motor!$B$654=0,"",_motor!$M$654-_motor!$O$654)</f>
        <v/>
      </c>
      <c r="L74" s="2" t="str">
        <f>IF(_motor!$B$654=0,"",IF(_motor!$O$654&lt;_motor!$M$654-2,"▲ VARIABLE OCULTA (sube "&amp;TEXT(_motor!$M$654-_motor!$O$654,"0")&amp;" puestos)",IF(_motor!$O$654&gt;_motor!$M$654+2,"▼ Sobrevalorada en directo (baja "&amp;TEXT(_motor!$O$654-_motor!$M$654,"0")&amp;")","= Estable")))</f>
        <v/>
      </c>
    </row>
    <row r="75" spans="1:12" x14ac:dyDescent="0.2">
      <c r="A75" s="6" t="str">
        <f>IF(_motor!$B$655=0,"",'02 · Variables'!$B$76)</f>
        <v/>
      </c>
      <c r="B75" s="2" t="str">
        <f>IF(_motor!$B$655=0,"",'02 · Variables'!$C$76)</f>
        <v/>
      </c>
      <c r="C75" s="9" t="str">
        <f>IF(_motor!$B$655=0,"",_motor!$E$655)</f>
        <v/>
      </c>
      <c r="D75" s="9" t="str">
        <f>IF(_motor!$B$655=0,"",_motor!$F$655)</f>
        <v/>
      </c>
      <c r="E75" s="8" t="str">
        <f>IF(OR(_motor!$B$655=0,_motor!$B$673=0),"",_motor!$E$655/_motor!$B$673)</f>
        <v/>
      </c>
      <c r="F75" s="8" t="str">
        <f>IF(OR(_motor!$B$655=0,_motor!$B$673=0),"",_motor!$F$655/_motor!$B$673)</f>
        <v/>
      </c>
      <c r="G75" s="7" t="str">
        <f>IF(_motor!$B$655=0,"",SUMPRODUCT(_motor!$B$586:$B$665*(_motor!$E$586:$E$665&gt;_motor!$E$655))+(SUMPRODUCT(_motor!$B$586:$B$665*(_motor!$E$586:$E$665=_motor!$E$655))+1)/2)</f>
        <v/>
      </c>
      <c r="H75" s="7" t="str">
        <f>IF(_motor!$B$655=0,"",SUMPRODUCT(_motor!$B$586:$B$665*(_motor!$F$586:$F$665&gt;_motor!$F$655))+(SUMPRODUCT(_motor!$B$586:$B$665*(_motor!$F$586:$F$665=_motor!$F$655))+1)/2)</f>
        <v/>
      </c>
      <c r="I75" s="2" t="str">
        <f>IF(_motor!$B$655=0,"",IF(AND(ABS(_motor!$E$655-_motor!$B$669)&lt;=_motor!$B$677+0.000000001,ABS(_motor!$F$655-_motor!$B$669)&lt;=_motor!$B$677+0.000000001),"5 · Pelotón (no concluyente)",IF(AND(_motor!$E$655&gt;=_motor!$B$669,_motor!$F$655&lt;_motor!$B$669),"1 · Entrada / determinante",IF(AND(_motor!$E$655&gt;=_motor!$B$669,_motor!$F$655&gt;=_motor!$B$669),"2 · Intermedia / de enlace",IF(AND(_motor!$E$655&lt;_motor!$B$669,_motor!$F$655&gt;=_motor!$B$669),"3 · Resultado","4 · Excluida / autónoma")))))</f>
        <v/>
      </c>
      <c r="J75" s="2" t="str">
        <f>IF(_motor!$B$655=0,"",IF(AND(ABS(_motor!$E$655-_motor!$B$669)&lt;=_motor!$B$677+0.000000001,ABS(_motor!$F$655-_motor!$B$669)&lt;=_motor!$B$677+0.000000001),"Reguladora",IF(AND(_motor!$E$655&gt;=_motor!$B$669,_motor!$F$655&lt;0.5*_motor!$B$669),"Determinante / entorno",IF(AND(_motor!$E$655&gt;=_motor!$B$669,_motor!$F$655&lt;_motor!$B$669),"Palanca secundaria",IF(AND(_motor!$E$655&gt;=_motor!$B$669,_motor!$F$655&gt;=_motor!$B$669),"Clave / de enlace",IF(AND(_motor!$F$655&gt;=_motor!$B$669,_motor!$E$655&gt;=0.5*_motor!$B$669),"Objetivo",IF(_motor!$F$655&gt;=_motor!$B$669,"Resultado","Autónoma")))))))</f>
        <v/>
      </c>
      <c r="K75" s="2" t="str">
        <f>IF(_motor!$B$655=0,"",_motor!$M$655-_motor!$O$655)</f>
        <v/>
      </c>
      <c r="L75" s="2" t="str">
        <f>IF(_motor!$B$655=0,"",IF(_motor!$O$655&lt;_motor!$M$655-2,"▲ VARIABLE OCULTA (sube "&amp;TEXT(_motor!$M$655-_motor!$O$655,"0")&amp;" puestos)",IF(_motor!$O$655&gt;_motor!$M$655+2,"▼ Sobrevalorada en directo (baja "&amp;TEXT(_motor!$O$655-_motor!$M$655,"0")&amp;")","= Estable")))</f>
        <v/>
      </c>
    </row>
    <row r="76" spans="1:12" x14ac:dyDescent="0.2">
      <c r="A76" s="6" t="str">
        <f>IF(_motor!$B$656=0,"",'02 · Variables'!$B$77)</f>
        <v/>
      </c>
      <c r="B76" s="2" t="str">
        <f>IF(_motor!$B$656=0,"",'02 · Variables'!$C$77)</f>
        <v/>
      </c>
      <c r="C76" s="9" t="str">
        <f>IF(_motor!$B$656=0,"",_motor!$E$656)</f>
        <v/>
      </c>
      <c r="D76" s="9" t="str">
        <f>IF(_motor!$B$656=0,"",_motor!$F$656)</f>
        <v/>
      </c>
      <c r="E76" s="8" t="str">
        <f>IF(OR(_motor!$B$656=0,_motor!$B$673=0),"",_motor!$E$656/_motor!$B$673)</f>
        <v/>
      </c>
      <c r="F76" s="8" t="str">
        <f>IF(OR(_motor!$B$656=0,_motor!$B$673=0),"",_motor!$F$656/_motor!$B$673)</f>
        <v/>
      </c>
      <c r="G76" s="7" t="str">
        <f>IF(_motor!$B$656=0,"",SUMPRODUCT(_motor!$B$586:$B$665*(_motor!$E$586:$E$665&gt;_motor!$E$656))+(SUMPRODUCT(_motor!$B$586:$B$665*(_motor!$E$586:$E$665=_motor!$E$656))+1)/2)</f>
        <v/>
      </c>
      <c r="H76" s="7" t="str">
        <f>IF(_motor!$B$656=0,"",SUMPRODUCT(_motor!$B$586:$B$665*(_motor!$F$586:$F$665&gt;_motor!$F$656))+(SUMPRODUCT(_motor!$B$586:$B$665*(_motor!$F$586:$F$665=_motor!$F$656))+1)/2)</f>
        <v/>
      </c>
      <c r="I76" s="2" t="str">
        <f>IF(_motor!$B$656=0,"",IF(AND(ABS(_motor!$E$656-_motor!$B$669)&lt;=_motor!$B$677+0.000000001,ABS(_motor!$F$656-_motor!$B$669)&lt;=_motor!$B$677+0.000000001),"5 · Pelotón (no concluyente)",IF(AND(_motor!$E$656&gt;=_motor!$B$669,_motor!$F$656&lt;_motor!$B$669),"1 · Entrada / determinante",IF(AND(_motor!$E$656&gt;=_motor!$B$669,_motor!$F$656&gt;=_motor!$B$669),"2 · Intermedia / de enlace",IF(AND(_motor!$E$656&lt;_motor!$B$669,_motor!$F$656&gt;=_motor!$B$669),"3 · Resultado","4 · Excluida / autónoma")))))</f>
        <v/>
      </c>
      <c r="J76" s="2" t="str">
        <f>IF(_motor!$B$656=0,"",IF(AND(ABS(_motor!$E$656-_motor!$B$669)&lt;=_motor!$B$677+0.000000001,ABS(_motor!$F$656-_motor!$B$669)&lt;=_motor!$B$677+0.000000001),"Reguladora",IF(AND(_motor!$E$656&gt;=_motor!$B$669,_motor!$F$656&lt;0.5*_motor!$B$669),"Determinante / entorno",IF(AND(_motor!$E$656&gt;=_motor!$B$669,_motor!$F$656&lt;_motor!$B$669),"Palanca secundaria",IF(AND(_motor!$E$656&gt;=_motor!$B$669,_motor!$F$656&gt;=_motor!$B$669),"Clave / de enlace",IF(AND(_motor!$F$656&gt;=_motor!$B$669,_motor!$E$656&gt;=0.5*_motor!$B$669),"Objetivo",IF(_motor!$F$656&gt;=_motor!$B$669,"Resultado","Autónoma")))))))</f>
        <v/>
      </c>
      <c r="K76" s="2" t="str">
        <f>IF(_motor!$B$656=0,"",_motor!$M$656-_motor!$O$656)</f>
        <v/>
      </c>
      <c r="L76" s="2" t="str">
        <f>IF(_motor!$B$656=0,"",IF(_motor!$O$656&lt;_motor!$M$656-2,"▲ VARIABLE OCULTA (sube "&amp;TEXT(_motor!$M$656-_motor!$O$656,"0")&amp;" puestos)",IF(_motor!$O$656&gt;_motor!$M$656+2,"▼ Sobrevalorada en directo (baja "&amp;TEXT(_motor!$O$656-_motor!$M$656,"0")&amp;")","= Estable")))</f>
        <v/>
      </c>
    </row>
    <row r="77" spans="1:12" x14ac:dyDescent="0.2">
      <c r="A77" s="6" t="str">
        <f>IF(_motor!$B$657=0,"",'02 · Variables'!$B$78)</f>
        <v/>
      </c>
      <c r="B77" s="2" t="str">
        <f>IF(_motor!$B$657=0,"",'02 · Variables'!$C$78)</f>
        <v/>
      </c>
      <c r="C77" s="9" t="str">
        <f>IF(_motor!$B$657=0,"",_motor!$E$657)</f>
        <v/>
      </c>
      <c r="D77" s="9" t="str">
        <f>IF(_motor!$B$657=0,"",_motor!$F$657)</f>
        <v/>
      </c>
      <c r="E77" s="8" t="str">
        <f>IF(OR(_motor!$B$657=0,_motor!$B$673=0),"",_motor!$E$657/_motor!$B$673)</f>
        <v/>
      </c>
      <c r="F77" s="8" t="str">
        <f>IF(OR(_motor!$B$657=0,_motor!$B$673=0),"",_motor!$F$657/_motor!$B$673)</f>
        <v/>
      </c>
      <c r="G77" s="7" t="str">
        <f>IF(_motor!$B$657=0,"",SUMPRODUCT(_motor!$B$586:$B$665*(_motor!$E$586:$E$665&gt;_motor!$E$657))+(SUMPRODUCT(_motor!$B$586:$B$665*(_motor!$E$586:$E$665=_motor!$E$657))+1)/2)</f>
        <v/>
      </c>
      <c r="H77" s="7" t="str">
        <f>IF(_motor!$B$657=0,"",SUMPRODUCT(_motor!$B$586:$B$665*(_motor!$F$586:$F$665&gt;_motor!$F$657))+(SUMPRODUCT(_motor!$B$586:$B$665*(_motor!$F$586:$F$665=_motor!$F$657))+1)/2)</f>
        <v/>
      </c>
      <c r="I77" s="2" t="str">
        <f>IF(_motor!$B$657=0,"",IF(AND(ABS(_motor!$E$657-_motor!$B$669)&lt;=_motor!$B$677+0.000000001,ABS(_motor!$F$657-_motor!$B$669)&lt;=_motor!$B$677+0.000000001),"5 · Pelotón (no concluyente)",IF(AND(_motor!$E$657&gt;=_motor!$B$669,_motor!$F$657&lt;_motor!$B$669),"1 · Entrada / determinante",IF(AND(_motor!$E$657&gt;=_motor!$B$669,_motor!$F$657&gt;=_motor!$B$669),"2 · Intermedia / de enlace",IF(AND(_motor!$E$657&lt;_motor!$B$669,_motor!$F$657&gt;=_motor!$B$669),"3 · Resultado","4 · Excluida / autónoma")))))</f>
        <v/>
      </c>
      <c r="J77" s="2" t="str">
        <f>IF(_motor!$B$657=0,"",IF(AND(ABS(_motor!$E$657-_motor!$B$669)&lt;=_motor!$B$677+0.000000001,ABS(_motor!$F$657-_motor!$B$669)&lt;=_motor!$B$677+0.000000001),"Reguladora",IF(AND(_motor!$E$657&gt;=_motor!$B$669,_motor!$F$657&lt;0.5*_motor!$B$669),"Determinante / entorno",IF(AND(_motor!$E$657&gt;=_motor!$B$669,_motor!$F$657&lt;_motor!$B$669),"Palanca secundaria",IF(AND(_motor!$E$657&gt;=_motor!$B$669,_motor!$F$657&gt;=_motor!$B$669),"Clave / de enlace",IF(AND(_motor!$F$657&gt;=_motor!$B$669,_motor!$E$657&gt;=0.5*_motor!$B$669),"Objetivo",IF(_motor!$F$657&gt;=_motor!$B$669,"Resultado","Autónoma")))))))</f>
        <v/>
      </c>
      <c r="K77" s="2" t="str">
        <f>IF(_motor!$B$657=0,"",_motor!$M$657-_motor!$O$657)</f>
        <v/>
      </c>
      <c r="L77" s="2" t="str">
        <f>IF(_motor!$B$657=0,"",IF(_motor!$O$657&lt;_motor!$M$657-2,"▲ VARIABLE OCULTA (sube "&amp;TEXT(_motor!$M$657-_motor!$O$657,"0")&amp;" puestos)",IF(_motor!$O$657&gt;_motor!$M$657+2,"▼ Sobrevalorada en directo (baja "&amp;TEXT(_motor!$O$657-_motor!$M$657,"0")&amp;")","= Estable")))</f>
        <v/>
      </c>
    </row>
    <row r="78" spans="1:12" x14ac:dyDescent="0.2">
      <c r="A78" s="6" t="str">
        <f>IF(_motor!$B$658=0,"",'02 · Variables'!$B$79)</f>
        <v/>
      </c>
      <c r="B78" s="2" t="str">
        <f>IF(_motor!$B$658=0,"",'02 · Variables'!$C$79)</f>
        <v/>
      </c>
      <c r="C78" s="9" t="str">
        <f>IF(_motor!$B$658=0,"",_motor!$E$658)</f>
        <v/>
      </c>
      <c r="D78" s="9" t="str">
        <f>IF(_motor!$B$658=0,"",_motor!$F$658)</f>
        <v/>
      </c>
      <c r="E78" s="8" t="str">
        <f>IF(OR(_motor!$B$658=0,_motor!$B$673=0),"",_motor!$E$658/_motor!$B$673)</f>
        <v/>
      </c>
      <c r="F78" s="8" t="str">
        <f>IF(OR(_motor!$B$658=0,_motor!$B$673=0),"",_motor!$F$658/_motor!$B$673)</f>
        <v/>
      </c>
      <c r="G78" s="7" t="str">
        <f>IF(_motor!$B$658=0,"",SUMPRODUCT(_motor!$B$586:$B$665*(_motor!$E$586:$E$665&gt;_motor!$E$658))+(SUMPRODUCT(_motor!$B$586:$B$665*(_motor!$E$586:$E$665=_motor!$E$658))+1)/2)</f>
        <v/>
      </c>
      <c r="H78" s="7" t="str">
        <f>IF(_motor!$B$658=0,"",SUMPRODUCT(_motor!$B$586:$B$665*(_motor!$F$586:$F$665&gt;_motor!$F$658))+(SUMPRODUCT(_motor!$B$586:$B$665*(_motor!$F$586:$F$665=_motor!$F$658))+1)/2)</f>
        <v/>
      </c>
      <c r="I78" s="2" t="str">
        <f>IF(_motor!$B$658=0,"",IF(AND(ABS(_motor!$E$658-_motor!$B$669)&lt;=_motor!$B$677+0.000000001,ABS(_motor!$F$658-_motor!$B$669)&lt;=_motor!$B$677+0.000000001),"5 · Pelotón (no concluyente)",IF(AND(_motor!$E$658&gt;=_motor!$B$669,_motor!$F$658&lt;_motor!$B$669),"1 · Entrada / determinante",IF(AND(_motor!$E$658&gt;=_motor!$B$669,_motor!$F$658&gt;=_motor!$B$669),"2 · Intermedia / de enlace",IF(AND(_motor!$E$658&lt;_motor!$B$669,_motor!$F$658&gt;=_motor!$B$669),"3 · Resultado","4 · Excluida / autónoma")))))</f>
        <v/>
      </c>
      <c r="J78" s="2" t="str">
        <f>IF(_motor!$B$658=0,"",IF(AND(ABS(_motor!$E$658-_motor!$B$669)&lt;=_motor!$B$677+0.000000001,ABS(_motor!$F$658-_motor!$B$669)&lt;=_motor!$B$677+0.000000001),"Reguladora",IF(AND(_motor!$E$658&gt;=_motor!$B$669,_motor!$F$658&lt;0.5*_motor!$B$669),"Determinante / entorno",IF(AND(_motor!$E$658&gt;=_motor!$B$669,_motor!$F$658&lt;_motor!$B$669),"Palanca secundaria",IF(AND(_motor!$E$658&gt;=_motor!$B$669,_motor!$F$658&gt;=_motor!$B$669),"Clave / de enlace",IF(AND(_motor!$F$658&gt;=_motor!$B$669,_motor!$E$658&gt;=0.5*_motor!$B$669),"Objetivo",IF(_motor!$F$658&gt;=_motor!$B$669,"Resultado","Autónoma")))))))</f>
        <v/>
      </c>
      <c r="K78" s="2" t="str">
        <f>IF(_motor!$B$658=0,"",_motor!$M$658-_motor!$O$658)</f>
        <v/>
      </c>
      <c r="L78" s="2" t="str">
        <f>IF(_motor!$B$658=0,"",IF(_motor!$O$658&lt;_motor!$M$658-2,"▲ VARIABLE OCULTA (sube "&amp;TEXT(_motor!$M$658-_motor!$O$658,"0")&amp;" puestos)",IF(_motor!$O$658&gt;_motor!$M$658+2,"▼ Sobrevalorada en directo (baja "&amp;TEXT(_motor!$O$658-_motor!$M$658,"0")&amp;")","= Estable")))</f>
        <v/>
      </c>
    </row>
    <row r="79" spans="1:12" x14ac:dyDescent="0.2">
      <c r="A79" s="6" t="str">
        <f>IF(_motor!$B$659=0,"",'02 · Variables'!$B$80)</f>
        <v/>
      </c>
      <c r="B79" s="2" t="str">
        <f>IF(_motor!$B$659=0,"",'02 · Variables'!$C$80)</f>
        <v/>
      </c>
      <c r="C79" s="9" t="str">
        <f>IF(_motor!$B$659=0,"",_motor!$E$659)</f>
        <v/>
      </c>
      <c r="D79" s="9" t="str">
        <f>IF(_motor!$B$659=0,"",_motor!$F$659)</f>
        <v/>
      </c>
      <c r="E79" s="8" t="str">
        <f>IF(OR(_motor!$B$659=0,_motor!$B$673=0),"",_motor!$E$659/_motor!$B$673)</f>
        <v/>
      </c>
      <c r="F79" s="8" t="str">
        <f>IF(OR(_motor!$B$659=0,_motor!$B$673=0),"",_motor!$F$659/_motor!$B$673)</f>
        <v/>
      </c>
      <c r="G79" s="7" t="str">
        <f>IF(_motor!$B$659=0,"",SUMPRODUCT(_motor!$B$586:$B$665*(_motor!$E$586:$E$665&gt;_motor!$E$659))+(SUMPRODUCT(_motor!$B$586:$B$665*(_motor!$E$586:$E$665=_motor!$E$659))+1)/2)</f>
        <v/>
      </c>
      <c r="H79" s="7" t="str">
        <f>IF(_motor!$B$659=0,"",SUMPRODUCT(_motor!$B$586:$B$665*(_motor!$F$586:$F$665&gt;_motor!$F$659))+(SUMPRODUCT(_motor!$B$586:$B$665*(_motor!$F$586:$F$665=_motor!$F$659))+1)/2)</f>
        <v/>
      </c>
      <c r="I79" s="2" t="str">
        <f>IF(_motor!$B$659=0,"",IF(AND(ABS(_motor!$E$659-_motor!$B$669)&lt;=_motor!$B$677+0.000000001,ABS(_motor!$F$659-_motor!$B$669)&lt;=_motor!$B$677+0.000000001),"5 · Pelotón (no concluyente)",IF(AND(_motor!$E$659&gt;=_motor!$B$669,_motor!$F$659&lt;_motor!$B$669),"1 · Entrada / determinante",IF(AND(_motor!$E$659&gt;=_motor!$B$669,_motor!$F$659&gt;=_motor!$B$669),"2 · Intermedia / de enlace",IF(AND(_motor!$E$659&lt;_motor!$B$669,_motor!$F$659&gt;=_motor!$B$669),"3 · Resultado","4 · Excluida / autónoma")))))</f>
        <v/>
      </c>
      <c r="J79" s="2" t="str">
        <f>IF(_motor!$B$659=0,"",IF(AND(ABS(_motor!$E$659-_motor!$B$669)&lt;=_motor!$B$677+0.000000001,ABS(_motor!$F$659-_motor!$B$669)&lt;=_motor!$B$677+0.000000001),"Reguladora",IF(AND(_motor!$E$659&gt;=_motor!$B$669,_motor!$F$659&lt;0.5*_motor!$B$669),"Determinante / entorno",IF(AND(_motor!$E$659&gt;=_motor!$B$669,_motor!$F$659&lt;_motor!$B$669),"Palanca secundaria",IF(AND(_motor!$E$659&gt;=_motor!$B$669,_motor!$F$659&gt;=_motor!$B$669),"Clave / de enlace",IF(AND(_motor!$F$659&gt;=_motor!$B$669,_motor!$E$659&gt;=0.5*_motor!$B$669),"Objetivo",IF(_motor!$F$659&gt;=_motor!$B$669,"Resultado","Autónoma")))))))</f>
        <v/>
      </c>
      <c r="K79" s="2" t="str">
        <f>IF(_motor!$B$659=0,"",_motor!$M$659-_motor!$O$659)</f>
        <v/>
      </c>
      <c r="L79" s="2" t="str">
        <f>IF(_motor!$B$659=0,"",IF(_motor!$O$659&lt;_motor!$M$659-2,"▲ VARIABLE OCULTA (sube "&amp;TEXT(_motor!$M$659-_motor!$O$659,"0")&amp;" puestos)",IF(_motor!$O$659&gt;_motor!$M$659+2,"▼ Sobrevalorada en directo (baja "&amp;TEXT(_motor!$O$659-_motor!$M$659,"0")&amp;")","= Estable")))</f>
        <v/>
      </c>
    </row>
    <row r="80" spans="1:12" x14ac:dyDescent="0.2">
      <c r="A80" s="6" t="str">
        <f>IF(_motor!$B$660=0,"",'02 · Variables'!$B$81)</f>
        <v/>
      </c>
      <c r="B80" s="2" t="str">
        <f>IF(_motor!$B$660=0,"",'02 · Variables'!$C$81)</f>
        <v/>
      </c>
      <c r="C80" s="9" t="str">
        <f>IF(_motor!$B$660=0,"",_motor!$E$660)</f>
        <v/>
      </c>
      <c r="D80" s="9" t="str">
        <f>IF(_motor!$B$660=0,"",_motor!$F$660)</f>
        <v/>
      </c>
      <c r="E80" s="8" t="str">
        <f>IF(OR(_motor!$B$660=0,_motor!$B$673=0),"",_motor!$E$660/_motor!$B$673)</f>
        <v/>
      </c>
      <c r="F80" s="8" t="str">
        <f>IF(OR(_motor!$B$660=0,_motor!$B$673=0),"",_motor!$F$660/_motor!$B$673)</f>
        <v/>
      </c>
      <c r="G80" s="7" t="str">
        <f>IF(_motor!$B$660=0,"",SUMPRODUCT(_motor!$B$586:$B$665*(_motor!$E$586:$E$665&gt;_motor!$E$660))+(SUMPRODUCT(_motor!$B$586:$B$665*(_motor!$E$586:$E$665=_motor!$E$660))+1)/2)</f>
        <v/>
      </c>
      <c r="H80" s="7" t="str">
        <f>IF(_motor!$B$660=0,"",SUMPRODUCT(_motor!$B$586:$B$665*(_motor!$F$586:$F$665&gt;_motor!$F$660))+(SUMPRODUCT(_motor!$B$586:$B$665*(_motor!$F$586:$F$665=_motor!$F$660))+1)/2)</f>
        <v/>
      </c>
      <c r="I80" s="2" t="str">
        <f>IF(_motor!$B$660=0,"",IF(AND(ABS(_motor!$E$660-_motor!$B$669)&lt;=_motor!$B$677+0.000000001,ABS(_motor!$F$660-_motor!$B$669)&lt;=_motor!$B$677+0.000000001),"5 · Pelotón (no concluyente)",IF(AND(_motor!$E$660&gt;=_motor!$B$669,_motor!$F$660&lt;_motor!$B$669),"1 · Entrada / determinante",IF(AND(_motor!$E$660&gt;=_motor!$B$669,_motor!$F$660&gt;=_motor!$B$669),"2 · Intermedia / de enlace",IF(AND(_motor!$E$660&lt;_motor!$B$669,_motor!$F$660&gt;=_motor!$B$669),"3 · Resultado","4 · Excluida / autónoma")))))</f>
        <v/>
      </c>
      <c r="J80" s="2" t="str">
        <f>IF(_motor!$B$660=0,"",IF(AND(ABS(_motor!$E$660-_motor!$B$669)&lt;=_motor!$B$677+0.000000001,ABS(_motor!$F$660-_motor!$B$669)&lt;=_motor!$B$677+0.000000001),"Reguladora",IF(AND(_motor!$E$660&gt;=_motor!$B$669,_motor!$F$660&lt;0.5*_motor!$B$669),"Determinante / entorno",IF(AND(_motor!$E$660&gt;=_motor!$B$669,_motor!$F$660&lt;_motor!$B$669),"Palanca secundaria",IF(AND(_motor!$E$660&gt;=_motor!$B$669,_motor!$F$660&gt;=_motor!$B$669),"Clave / de enlace",IF(AND(_motor!$F$660&gt;=_motor!$B$669,_motor!$E$660&gt;=0.5*_motor!$B$669),"Objetivo",IF(_motor!$F$660&gt;=_motor!$B$669,"Resultado","Autónoma")))))))</f>
        <v/>
      </c>
      <c r="K80" s="2" t="str">
        <f>IF(_motor!$B$660=0,"",_motor!$M$660-_motor!$O$660)</f>
        <v/>
      </c>
      <c r="L80" s="2" t="str">
        <f>IF(_motor!$B$660=0,"",IF(_motor!$O$660&lt;_motor!$M$660-2,"▲ VARIABLE OCULTA (sube "&amp;TEXT(_motor!$M$660-_motor!$O$660,"0")&amp;" puestos)",IF(_motor!$O$660&gt;_motor!$M$660+2,"▼ Sobrevalorada en directo (baja "&amp;TEXT(_motor!$O$660-_motor!$M$660,"0")&amp;")","= Estable")))</f>
        <v/>
      </c>
    </row>
    <row r="81" spans="1:12" x14ac:dyDescent="0.2">
      <c r="A81" s="6" t="str">
        <f>IF(_motor!$B$661=0,"",'02 · Variables'!$B$82)</f>
        <v/>
      </c>
      <c r="B81" s="2" t="str">
        <f>IF(_motor!$B$661=0,"",'02 · Variables'!$C$82)</f>
        <v/>
      </c>
      <c r="C81" s="9" t="str">
        <f>IF(_motor!$B$661=0,"",_motor!$E$661)</f>
        <v/>
      </c>
      <c r="D81" s="9" t="str">
        <f>IF(_motor!$B$661=0,"",_motor!$F$661)</f>
        <v/>
      </c>
      <c r="E81" s="8" t="str">
        <f>IF(OR(_motor!$B$661=0,_motor!$B$673=0),"",_motor!$E$661/_motor!$B$673)</f>
        <v/>
      </c>
      <c r="F81" s="8" t="str">
        <f>IF(OR(_motor!$B$661=0,_motor!$B$673=0),"",_motor!$F$661/_motor!$B$673)</f>
        <v/>
      </c>
      <c r="G81" s="7" t="str">
        <f>IF(_motor!$B$661=0,"",SUMPRODUCT(_motor!$B$586:$B$665*(_motor!$E$586:$E$665&gt;_motor!$E$661))+(SUMPRODUCT(_motor!$B$586:$B$665*(_motor!$E$586:$E$665=_motor!$E$661))+1)/2)</f>
        <v/>
      </c>
      <c r="H81" s="7" t="str">
        <f>IF(_motor!$B$661=0,"",SUMPRODUCT(_motor!$B$586:$B$665*(_motor!$F$586:$F$665&gt;_motor!$F$661))+(SUMPRODUCT(_motor!$B$586:$B$665*(_motor!$F$586:$F$665=_motor!$F$661))+1)/2)</f>
        <v/>
      </c>
      <c r="I81" s="2" t="str">
        <f>IF(_motor!$B$661=0,"",IF(AND(ABS(_motor!$E$661-_motor!$B$669)&lt;=_motor!$B$677+0.000000001,ABS(_motor!$F$661-_motor!$B$669)&lt;=_motor!$B$677+0.000000001),"5 · Pelotón (no concluyente)",IF(AND(_motor!$E$661&gt;=_motor!$B$669,_motor!$F$661&lt;_motor!$B$669),"1 · Entrada / determinante",IF(AND(_motor!$E$661&gt;=_motor!$B$669,_motor!$F$661&gt;=_motor!$B$669),"2 · Intermedia / de enlace",IF(AND(_motor!$E$661&lt;_motor!$B$669,_motor!$F$661&gt;=_motor!$B$669),"3 · Resultado","4 · Excluida / autónoma")))))</f>
        <v/>
      </c>
      <c r="J81" s="2" t="str">
        <f>IF(_motor!$B$661=0,"",IF(AND(ABS(_motor!$E$661-_motor!$B$669)&lt;=_motor!$B$677+0.000000001,ABS(_motor!$F$661-_motor!$B$669)&lt;=_motor!$B$677+0.000000001),"Reguladora",IF(AND(_motor!$E$661&gt;=_motor!$B$669,_motor!$F$661&lt;0.5*_motor!$B$669),"Determinante / entorno",IF(AND(_motor!$E$661&gt;=_motor!$B$669,_motor!$F$661&lt;_motor!$B$669),"Palanca secundaria",IF(AND(_motor!$E$661&gt;=_motor!$B$669,_motor!$F$661&gt;=_motor!$B$669),"Clave / de enlace",IF(AND(_motor!$F$661&gt;=_motor!$B$669,_motor!$E$661&gt;=0.5*_motor!$B$669),"Objetivo",IF(_motor!$F$661&gt;=_motor!$B$669,"Resultado","Autónoma")))))))</f>
        <v/>
      </c>
      <c r="K81" s="2" t="str">
        <f>IF(_motor!$B$661=0,"",_motor!$M$661-_motor!$O$661)</f>
        <v/>
      </c>
      <c r="L81" s="2" t="str">
        <f>IF(_motor!$B$661=0,"",IF(_motor!$O$661&lt;_motor!$M$661-2,"▲ VARIABLE OCULTA (sube "&amp;TEXT(_motor!$M$661-_motor!$O$661,"0")&amp;" puestos)",IF(_motor!$O$661&gt;_motor!$M$661+2,"▼ Sobrevalorada en directo (baja "&amp;TEXT(_motor!$O$661-_motor!$M$661,"0")&amp;")","= Estable")))</f>
        <v/>
      </c>
    </row>
    <row r="82" spans="1:12" x14ac:dyDescent="0.2">
      <c r="A82" s="6" t="str">
        <f>IF(_motor!$B$662=0,"",'02 · Variables'!$B$83)</f>
        <v/>
      </c>
      <c r="B82" s="2" t="str">
        <f>IF(_motor!$B$662=0,"",'02 · Variables'!$C$83)</f>
        <v/>
      </c>
      <c r="C82" s="9" t="str">
        <f>IF(_motor!$B$662=0,"",_motor!$E$662)</f>
        <v/>
      </c>
      <c r="D82" s="9" t="str">
        <f>IF(_motor!$B$662=0,"",_motor!$F$662)</f>
        <v/>
      </c>
      <c r="E82" s="8" t="str">
        <f>IF(OR(_motor!$B$662=0,_motor!$B$673=0),"",_motor!$E$662/_motor!$B$673)</f>
        <v/>
      </c>
      <c r="F82" s="8" t="str">
        <f>IF(OR(_motor!$B$662=0,_motor!$B$673=0),"",_motor!$F$662/_motor!$B$673)</f>
        <v/>
      </c>
      <c r="G82" s="7" t="str">
        <f>IF(_motor!$B$662=0,"",SUMPRODUCT(_motor!$B$586:$B$665*(_motor!$E$586:$E$665&gt;_motor!$E$662))+(SUMPRODUCT(_motor!$B$586:$B$665*(_motor!$E$586:$E$665=_motor!$E$662))+1)/2)</f>
        <v/>
      </c>
      <c r="H82" s="7" t="str">
        <f>IF(_motor!$B$662=0,"",SUMPRODUCT(_motor!$B$586:$B$665*(_motor!$F$586:$F$665&gt;_motor!$F$662))+(SUMPRODUCT(_motor!$B$586:$B$665*(_motor!$F$586:$F$665=_motor!$F$662))+1)/2)</f>
        <v/>
      </c>
      <c r="I82" s="2" t="str">
        <f>IF(_motor!$B$662=0,"",IF(AND(ABS(_motor!$E$662-_motor!$B$669)&lt;=_motor!$B$677+0.000000001,ABS(_motor!$F$662-_motor!$B$669)&lt;=_motor!$B$677+0.000000001),"5 · Pelotón (no concluyente)",IF(AND(_motor!$E$662&gt;=_motor!$B$669,_motor!$F$662&lt;_motor!$B$669),"1 · Entrada / determinante",IF(AND(_motor!$E$662&gt;=_motor!$B$669,_motor!$F$662&gt;=_motor!$B$669),"2 · Intermedia / de enlace",IF(AND(_motor!$E$662&lt;_motor!$B$669,_motor!$F$662&gt;=_motor!$B$669),"3 · Resultado","4 · Excluida / autónoma")))))</f>
        <v/>
      </c>
      <c r="J82" s="2" t="str">
        <f>IF(_motor!$B$662=0,"",IF(AND(ABS(_motor!$E$662-_motor!$B$669)&lt;=_motor!$B$677+0.000000001,ABS(_motor!$F$662-_motor!$B$669)&lt;=_motor!$B$677+0.000000001),"Reguladora",IF(AND(_motor!$E$662&gt;=_motor!$B$669,_motor!$F$662&lt;0.5*_motor!$B$669),"Determinante / entorno",IF(AND(_motor!$E$662&gt;=_motor!$B$669,_motor!$F$662&lt;_motor!$B$669),"Palanca secundaria",IF(AND(_motor!$E$662&gt;=_motor!$B$669,_motor!$F$662&gt;=_motor!$B$669),"Clave / de enlace",IF(AND(_motor!$F$662&gt;=_motor!$B$669,_motor!$E$662&gt;=0.5*_motor!$B$669),"Objetivo",IF(_motor!$F$662&gt;=_motor!$B$669,"Resultado","Autónoma")))))))</f>
        <v/>
      </c>
      <c r="K82" s="2" t="str">
        <f>IF(_motor!$B$662=0,"",_motor!$M$662-_motor!$O$662)</f>
        <v/>
      </c>
      <c r="L82" s="2" t="str">
        <f>IF(_motor!$B$662=0,"",IF(_motor!$O$662&lt;_motor!$M$662-2,"▲ VARIABLE OCULTA (sube "&amp;TEXT(_motor!$M$662-_motor!$O$662,"0")&amp;" puestos)",IF(_motor!$O$662&gt;_motor!$M$662+2,"▼ Sobrevalorada en directo (baja "&amp;TEXT(_motor!$O$662-_motor!$M$662,"0")&amp;")","= Estable")))</f>
        <v/>
      </c>
    </row>
    <row r="83" spans="1:12" x14ac:dyDescent="0.2">
      <c r="A83" s="6" t="str">
        <f>IF(_motor!$B$663=0,"",'02 · Variables'!$B$84)</f>
        <v/>
      </c>
      <c r="B83" s="2" t="str">
        <f>IF(_motor!$B$663=0,"",'02 · Variables'!$C$84)</f>
        <v/>
      </c>
      <c r="C83" s="9" t="str">
        <f>IF(_motor!$B$663=0,"",_motor!$E$663)</f>
        <v/>
      </c>
      <c r="D83" s="9" t="str">
        <f>IF(_motor!$B$663=0,"",_motor!$F$663)</f>
        <v/>
      </c>
      <c r="E83" s="8" t="str">
        <f>IF(OR(_motor!$B$663=0,_motor!$B$673=0),"",_motor!$E$663/_motor!$B$673)</f>
        <v/>
      </c>
      <c r="F83" s="8" t="str">
        <f>IF(OR(_motor!$B$663=0,_motor!$B$673=0),"",_motor!$F$663/_motor!$B$673)</f>
        <v/>
      </c>
      <c r="G83" s="7" t="str">
        <f>IF(_motor!$B$663=0,"",SUMPRODUCT(_motor!$B$586:$B$665*(_motor!$E$586:$E$665&gt;_motor!$E$663))+(SUMPRODUCT(_motor!$B$586:$B$665*(_motor!$E$586:$E$665=_motor!$E$663))+1)/2)</f>
        <v/>
      </c>
      <c r="H83" s="7" t="str">
        <f>IF(_motor!$B$663=0,"",SUMPRODUCT(_motor!$B$586:$B$665*(_motor!$F$586:$F$665&gt;_motor!$F$663))+(SUMPRODUCT(_motor!$B$586:$B$665*(_motor!$F$586:$F$665=_motor!$F$663))+1)/2)</f>
        <v/>
      </c>
      <c r="I83" s="2" t="str">
        <f>IF(_motor!$B$663=0,"",IF(AND(ABS(_motor!$E$663-_motor!$B$669)&lt;=_motor!$B$677+0.000000001,ABS(_motor!$F$663-_motor!$B$669)&lt;=_motor!$B$677+0.000000001),"5 · Pelotón (no concluyente)",IF(AND(_motor!$E$663&gt;=_motor!$B$669,_motor!$F$663&lt;_motor!$B$669),"1 · Entrada / determinante",IF(AND(_motor!$E$663&gt;=_motor!$B$669,_motor!$F$663&gt;=_motor!$B$669),"2 · Intermedia / de enlace",IF(AND(_motor!$E$663&lt;_motor!$B$669,_motor!$F$663&gt;=_motor!$B$669),"3 · Resultado","4 · Excluida / autónoma")))))</f>
        <v/>
      </c>
      <c r="J83" s="2" t="str">
        <f>IF(_motor!$B$663=0,"",IF(AND(ABS(_motor!$E$663-_motor!$B$669)&lt;=_motor!$B$677+0.000000001,ABS(_motor!$F$663-_motor!$B$669)&lt;=_motor!$B$677+0.000000001),"Reguladora",IF(AND(_motor!$E$663&gt;=_motor!$B$669,_motor!$F$663&lt;0.5*_motor!$B$669),"Determinante / entorno",IF(AND(_motor!$E$663&gt;=_motor!$B$669,_motor!$F$663&lt;_motor!$B$669),"Palanca secundaria",IF(AND(_motor!$E$663&gt;=_motor!$B$669,_motor!$F$663&gt;=_motor!$B$669),"Clave / de enlace",IF(AND(_motor!$F$663&gt;=_motor!$B$669,_motor!$E$663&gt;=0.5*_motor!$B$669),"Objetivo",IF(_motor!$F$663&gt;=_motor!$B$669,"Resultado","Autónoma")))))))</f>
        <v/>
      </c>
      <c r="K83" s="2" t="str">
        <f>IF(_motor!$B$663=0,"",_motor!$M$663-_motor!$O$663)</f>
        <v/>
      </c>
      <c r="L83" s="2" t="str">
        <f>IF(_motor!$B$663=0,"",IF(_motor!$O$663&lt;_motor!$M$663-2,"▲ VARIABLE OCULTA (sube "&amp;TEXT(_motor!$M$663-_motor!$O$663,"0")&amp;" puestos)",IF(_motor!$O$663&gt;_motor!$M$663+2,"▼ Sobrevalorada en directo (baja "&amp;TEXT(_motor!$O$663-_motor!$M$663,"0")&amp;")","= Estable")))</f>
        <v/>
      </c>
    </row>
    <row r="84" spans="1:12" x14ac:dyDescent="0.2">
      <c r="A84" s="6" t="str">
        <f>IF(_motor!$B$664=0,"",'02 · Variables'!$B$85)</f>
        <v/>
      </c>
      <c r="B84" s="2" t="str">
        <f>IF(_motor!$B$664=0,"",'02 · Variables'!$C$85)</f>
        <v/>
      </c>
      <c r="C84" s="9" t="str">
        <f>IF(_motor!$B$664=0,"",_motor!$E$664)</f>
        <v/>
      </c>
      <c r="D84" s="9" t="str">
        <f>IF(_motor!$B$664=0,"",_motor!$F$664)</f>
        <v/>
      </c>
      <c r="E84" s="8" t="str">
        <f>IF(OR(_motor!$B$664=0,_motor!$B$673=0),"",_motor!$E$664/_motor!$B$673)</f>
        <v/>
      </c>
      <c r="F84" s="8" t="str">
        <f>IF(OR(_motor!$B$664=0,_motor!$B$673=0),"",_motor!$F$664/_motor!$B$673)</f>
        <v/>
      </c>
      <c r="G84" s="7" t="str">
        <f>IF(_motor!$B$664=0,"",SUMPRODUCT(_motor!$B$586:$B$665*(_motor!$E$586:$E$665&gt;_motor!$E$664))+(SUMPRODUCT(_motor!$B$586:$B$665*(_motor!$E$586:$E$665=_motor!$E$664))+1)/2)</f>
        <v/>
      </c>
      <c r="H84" s="7" t="str">
        <f>IF(_motor!$B$664=0,"",SUMPRODUCT(_motor!$B$586:$B$665*(_motor!$F$586:$F$665&gt;_motor!$F$664))+(SUMPRODUCT(_motor!$B$586:$B$665*(_motor!$F$586:$F$665=_motor!$F$664))+1)/2)</f>
        <v/>
      </c>
      <c r="I84" s="2" t="str">
        <f>IF(_motor!$B$664=0,"",IF(AND(ABS(_motor!$E$664-_motor!$B$669)&lt;=_motor!$B$677+0.000000001,ABS(_motor!$F$664-_motor!$B$669)&lt;=_motor!$B$677+0.000000001),"5 · Pelotón (no concluyente)",IF(AND(_motor!$E$664&gt;=_motor!$B$669,_motor!$F$664&lt;_motor!$B$669),"1 · Entrada / determinante",IF(AND(_motor!$E$664&gt;=_motor!$B$669,_motor!$F$664&gt;=_motor!$B$669),"2 · Intermedia / de enlace",IF(AND(_motor!$E$664&lt;_motor!$B$669,_motor!$F$664&gt;=_motor!$B$669),"3 · Resultado","4 · Excluida / autónoma")))))</f>
        <v/>
      </c>
      <c r="J84" s="2" t="str">
        <f>IF(_motor!$B$664=0,"",IF(AND(ABS(_motor!$E$664-_motor!$B$669)&lt;=_motor!$B$677+0.000000001,ABS(_motor!$F$664-_motor!$B$669)&lt;=_motor!$B$677+0.000000001),"Reguladora",IF(AND(_motor!$E$664&gt;=_motor!$B$669,_motor!$F$664&lt;0.5*_motor!$B$669),"Determinante / entorno",IF(AND(_motor!$E$664&gt;=_motor!$B$669,_motor!$F$664&lt;_motor!$B$669),"Palanca secundaria",IF(AND(_motor!$E$664&gt;=_motor!$B$669,_motor!$F$664&gt;=_motor!$B$669),"Clave / de enlace",IF(AND(_motor!$F$664&gt;=_motor!$B$669,_motor!$E$664&gt;=0.5*_motor!$B$669),"Objetivo",IF(_motor!$F$664&gt;=_motor!$B$669,"Resultado","Autónoma")))))))</f>
        <v/>
      </c>
      <c r="K84" s="2" t="str">
        <f>IF(_motor!$B$664=0,"",_motor!$M$664-_motor!$O$664)</f>
        <v/>
      </c>
      <c r="L84" s="2" t="str">
        <f>IF(_motor!$B$664=0,"",IF(_motor!$O$664&lt;_motor!$M$664-2,"▲ VARIABLE OCULTA (sube "&amp;TEXT(_motor!$M$664-_motor!$O$664,"0")&amp;" puestos)",IF(_motor!$O$664&gt;_motor!$M$664+2,"▼ Sobrevalorada en directo (baja "&amp;TEXT(_motor!$O$664-_motor!$M$664,"0")&amp;")","= Estable")))</f>
        <v/>
      </c>
    </row>
    <row r="85" spans="1:12" x14ac:dyDescent="0.2">
      <c r="A85" s="6" t="str">
        <f>IF(_motor!$B$665=0,"",'02 · Variables'!$B$86)</f>
        <v/>
      </c>
      <c r="B85" s="2" t="str">
        <f>IF(_motor!$B$665=0,"",'02 · Variables'!$C$86)</f>
        <v/>
      </c>
      <c r="C85" s="9" t="str">
        <f>IF(_motor!$B$665=0,"",_motor!$E$665)</f>
        <v/>
      </c>
      <c r="D85" s="9" t="str">
        <f>IF(_motor!$B$665=0,"",_motor!$F$665)</f>
        <v/>
      </c>
      <c r="E85" s="8" t="str">
        <f>IF(OR(_motor!$B$665=0,_motor!$B$673=0),"",_motor!$E$665/_motor!$B$673)</f>
        <v/>
      </c>
      <c r="F85" s="8" t="str">
        <f>IF(OR(_motor!$B$665=0,_motor!$B$673=0),"",_motor!$F$665/_motor!$B$673)</f>
        <v/>
      </c>
      <c r="G85" s="7" t="str">
        <f>IF(_motor!$B$665=0,"",SUMPRODUCT(_motor!$B$586:$B$665*(_motor!$E$586:$E$665&gt;_motor!$E$665))+(SUMPRODUCT(_motor!$B$586:$B$665*(_motor!$E$586:$E$665=_motor!$E$665))+1)/2)</f>
        <v/>
      </c>
      <c r="H85" s="7" t="str">
        <f>IF(_motor!$B$665=0,"",SUMPRODUCT(_motor!$B$586:$B$665*(_motor!$F$586:$F$665&gt;_motor!$F$665))+(SUMPRODUCT(_motor!$B$586:$B$665*(_motor!$F$586:$F$665=_motor!$F$665))+1)/2)</f>
        <v/>
      </c>
      <c r="I85" s="2" t="str">
        <f>IF(_motor!$B$665=0,"",IF(AND(ABS(_motor!$E$665-_motor!$B$669)&lt;=_motor!$B$677+0.000000001,ABS(_motor!$F$665-_motor!$B$669)&lt;=_motor!$B$677+0.000000001),"5 · Pelotón (no concluyente)",IF(AND(_motor!$E$665&gt;=_motor!$B$669,_motor!$F$665&lt;_motor!$B$669),"1 · Entrada / determinante",IF(AND(_motor!$E$665&gt;=_motor!$B$669,_motor!$F$665&gt;=_motor!$B$669),"2 · Intermedia / de enlace",IF(AND(_motor!$E$665&lt;_motor!$B$669,_motor!$F$665&gt;=_motor!$B$669),"3 · Resultado","4 · Excluida / autónoma")))))</f>
        <v/>
      </c>
      <c r="J85" s="2" t="str">
        <f>IF(_motor!$B$665=0,"",IF(AND(ABS(_motor!$E$665-_motor!$B$669)&lt;=_motor!$B$677+0.000000001,ABS(_motor!$F$665-_motor!$B$669)&lt;=_motor!$B$677+0.000000001),"Reguladora",IF(AND(_motor!$E$665&gt;=_motor!$B$669,_motor!$F$665&lt;0.5*_motor!$B$669),"Determinante / entorno",IF(AND(_motor!$E$665&gt;=_motor!$B$669,_motor!$F$665&lt;_motor!$B$669),"Palanca secundaria",IF(AND(_motor!$E$665&gt;=_motor!$B$669,_motor!$F$665&gt;=_motor!$B$669),"Clave / de enlace",IF(AND(_motor!$F$665&gt;=_motor!$B$669,_motor!$E$665&gt;=0.5*_motor!$B$669),"Objetivo",IF(_motor!$F$665&gt;=_motor!$B$669,"Resultado","Autónoma")))))))</f>
        <v/>
      </c>
      <c r="K85" s="2" t="str">
        <f>IF(_motor!$B$665=0,"",_motor!$M$665-_motor!$O$665)</f>
        <v/>
      </c>
      <c r="L85" s="2" t="str">
        <f>IF(_motor!$B$665=0,"",IF(_motor!$O$665&lt;_motor!$M$665-2,"▲ VARIABLE OCULTA (sube "&amp;TEXT(_motor!$M$665-_motor!$O$665,"0")&amp;" puestos)",IF(_motor!$O$665&gt;_motor!$M$665+2,"▼ Sobrevalorada en directo (baja "&amp;TEXT(_motor!$O$665-_motor!$M$665,"0")&amp;")","= Estable")))</f>
        <v/>
      </c>
    </row>
    <row r="87" spans="1:12" ht="30" x14ac:dyDescent="0.2">
      <c r="B87" s="1" t="s">
        <v>12</v>
      </c>
      <c r="C87" s="10">
        <f>_motor!$B$669</f>
        <v>0</v>
      </c>
    </row>
    <row r="88" spans="1:12" ht="30" x14ac:dyDescent="0.2">
      <c r="B88" s="1" t="s">
        <v>13</v>
      </c>
      <c r="C88" s="10">
        <f>_motor!$B$677</f>
        <v>0</v>
      </c>
    </row>
    <row r="89" spans="1:12" ht="23.75" customHeight="1" x14ac:dyDescent="0.2">
      <c r="B89" s="1" t="s">
        <v>14</v>
      </c>
      <c r="C89" s="120" t="s">
        <v>15</v>
      </c>
      <c r="D89" s="120"/>
      <c r="E89" s="120"/>
      <c r="F89" s="120"/>
      <c r="G89" s="120"/>
      <c r="H89" s="120"/>
      <c r="I89" s="120"/>
      <c r="J89" s="120"/>
    </row>
  </sheetData>
  <sheetProtection password="CD7E" sheet="1" formatCells="0" formatColumns="0" formatRows="0" insertRows="0"/>
  <mergeCells count="1">
    <mergeCell ref="C89:J89"/>
  </mergeCells>
  <conditionalFormatting sqref="I6:I85">
    <cfRule type="expression" dxfId="11" priority="2">
      <formula>ISNUMBER(SEARCH("1 ·",$I6))</formula>
    </cfRule>
    <cfRule type="expression" dxfId="10" priority="3">
      <formula>ISNUMBER(SEARCH("2 ·",$I6))</formula>
    </cfRule>
    <cfRule type="expression" dxfId="9" priority="4">
      <formula>ISNUMBER(SEARCH("3 ·",$I6))</formula>
    </cfRule>
    <cfRule type="expression" dxfId="8" priority="5">
      <formula>ISNUMBER(SEARCH("4 ·",$I6))</formula>
    </cfRule>
    <cfRule type="expression" dxfId="7" priority="6">
      <formula>ISNUMBER(SEARCH("5 ·",$I6))</formula>
    </cfRule>
  </conditionalFormatting>
  <pageMargins left="0.5" right="0.5" top="0.6" bottom="0.6" header="0.3" footer="0.3"/>
  <pageSetup paperSize="9" fitToHeight="0" orientation="landscape" horizontalDpi="300" verticalDpi="300"/>
  <headerFooter>
    <oddHeader>&amp;R&amp;"Aptos,Regular"&amp;8&amp;K94A0AE10 Res Indirectos</oddHeader>
    <oddFooter>&amp;L&amp;"Aptos,Regular"&amp;8&amp;K94A0AEIntelKIT · MICMAC Professional v1.0&amp;R&amp;"Aptos,Regular"&amp;8&amp;K94A0AEPágina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82C0"/>
    <pageSetUpPr fitToPage="1"/>
  </sheetPr>
  <dimension ref="A1:J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s>
  <sheetData>
    <row r="1" spans="1:10" ht="24" customHeight="1" x14ac:dyDescent="0.2">
      <c r="A1" s="18"/>
      <c r="B1" s="17" t="s">
        <v>135</v>
      </c>
      <c r="C1" s="18" t="s">
        <v>382</v>
      </c>
      <c r="D1" s="18"/>
      <c r="E1" s="18"/>
      <c r="F1" s="18"/>
      <c r="G1" s="18"/>
      <c r="H1" s="18"/>
      <c r="I1" s="19" t="s">
        <v>380</v>
      </c>
    </row>
    <row r="2" spans="1:10" ht="26" customHeight="1" x14ac:dyDescent="0.2">
      <c r="B2" s="20" t="s">
        <v>20</v>
      </c>
    </row>
    <row r="3" spans="1:10" ht="22" customHeight="1" x14ac:dyDescent="0.2">
      <c r="B3" s="21" t="s">
        <v>21</v>
      </c>
    </row>
    <row r="5" spans="1:10" x14ac:dyDescent="0.2">
      <c r="A5" s="5" t="s">
        <v>0</v>
      </c>
      <c r="B5" s="5" t="s">
        <v>3</v>
      </c>
      <c r="C5" s="5" t="s">
        <v>4</v>
      </c>
      <c r="D5" s="5" t="s">
        <v>5</v>
      </c>
      <c r="E5" s="5" t="s">
        <v>6</v>
      </c>
      <c r="F5" s="5" t="s">
        <v>7</v>
      </c>
      <c r="G5" s="5" t="s">
        <v>8</v>
      </c>
      <c r="H5" s="5" t="s">
        <v>9</v>
      </c>
      <c r="I5" s="5" t="s">
        <v>10</v>
      </c>
      <c r="J5" s="5" t="s">
        <v>11</v>
      </c>
    </row>
    <row r="6" spans="1:10" x14ac:dyDescent="0.2">
      <c r="A6" s="6" t="str">
        <f>IF(_motor!$B$586=0,"",'02 · Variables'!$B$7)</f>
        <v/>
      </c>
      <c r="B6" s="2" t="str">
        <f>IF(_motor!$B$586=0,"",'02 · Variables'!$C$7)</f>
        <v/>
      </c>
      <c r="C6" s="9" t="str">
        <f>IF(_motor!$B$586=0,"",_motor!$G$586)</f>
        <v/>
      </c>
      <c r="D6" s="9" t="str">
        <f>IF(_motor!$B$586=0,"",_motor!$H$586)</f>
        <v/>
      </c>
      <c r="E6" s="8" t="str">
        <f>IF(OR(_motor!$B$586=0,_motor!$B$674=0),"",_motor!$G$586/_motor!$B$674)</f>
        <v/>
      </c>
      <c r="F6" s="8" t="str">
        <f>IF(OR(_motor!$B$586=0,_motor!$B$674=0),"",_motor!$H$586/_motor!$B$674)</f>
        <v/>
      </c>
      <c r="G6" s="7" t="str">
        <f>IF(_motor!$B$586=0,"",SUMPRODUCT(_motor!$B$586:$B$665*(_motor!$G$586:$G$665&gt;_motor!$G$586))+(SUMPRODUCT(_motor!$B$586:$B$665*(_motor!$G$586:$G$665=_motor!$G$586))+1)/2)</f>
        <v/>
      </c>
      <c r="H6" s="7" t="str">
        <f>IF(_motor!$B$586=0,"",SUMPRODUCT(_motor!$B$586:$B$665*(_motor!$H$586:$H$665&gt;_motor!$H$586))+(SUMPRODUCT(_motor!$B$586:$B$665*(_motor!$H$586:$H$665=_motor!$H$586))+1)/2)</f>
        <v/>
      </c>
      <c r="I6" s="2" t="str">
        <f>IF(_motor!$B$586=0,"",IF(AND(ABS(_motor!$G$586-_motor!$B$670)&lt;=_motor!$B$678+0.000000001,ABS(_motor!$H$586-_motor!$B$670)&lt;=_motor!$B$678+0.000000001),"5 · Pelotón (no concluyente)",IF(AND(_motor!$G$586&gt;=_motor!$B$670,_motor!$H$586&lt;_motor!$B$670),"1 · Entrada / determinante",IF(AND(_motor!$G$586&gt;=_motor!$B$670,_motor!$H$586&gt;=_motor!$B$670),"2 · Intermedia / de enlace",IF(AND(_motor!$G$586&lt;_motor!$B$670,_motor!$H$586&gt;=_motor!$B$670),"3 · Resultado","4 · Excluida / autónoma")))))</f>
        <v/>
      </c>
      <c r="J6" s="2" t="str">
        <f>IF(_motor!$B$586=0,"",IF(AND(ABS(_motor!$G$586-_motor!$B$670)&lt;=_motor!$B$678+0.000000001,ABS(_motor!$H$586-_motor!$B$670)&lt;=_motor!$B$678+0.000000001),"Reguladora",IF(AND(_motor!$G$586&gt;=_motor!$B$670,_motor!$H$586&lt;0.5*_motor!$B$670),"Determinante / entorno",IF(AND(_motor!$G$586&gt;=_motor!$B$670,_motor!$H$586&lt;_motor!$B$670),"Palanca secundaria",IF(AND(_motor!$G$586&gt;=_motor!$B$670,_motor!$H$586&gt;=_motor!$B$670),"Clave / de enlace",IF(AND(_motor!$H$586&gt;=_motor!$B$670,_motor!$G$586&gt;=0.5*_motor!$B$670),"Objetivo",IF(_motor!$H$586&gt;=_motor!$B$670,"Resultado","Autónoma")))))))</f>
        <v/>
      </c>
    </row>
    <row r="7" spans="1:10" x14ac:dyDescent="0.2">
      <c r="A7" s="6" t="str">
        <f>IF(_motor!$B$587=0,"",'02 · Variables'!$B$8)</f>
        <v/>
      </c>
      <c r="B7" s="2" t="str">
        <f>IF(_motor!$B$587=0,"",'02 · Variables'!$C$8)</f>
        <v/>
      </c>
      <c r="C7" s="9" t="str">
        <f>IF(_motor!$B$587=0,"",_motor!$G$587)</f>
        <v/>
      </c>
      <c r="D7" s="9" t="str">
        <f>IF(_motor!$B$587=0,"",_motor!$H$587)</f>
        <v/>
      </c>
      <c r="E7" s="8" t="str">
        <f>IF(OR(_motor!$B$587=0,_motor!$B$674=0),"",_motor!$G$587/_motor!$B$674)</f>
        <v/>
      </c>
      <c r="F7" s="8" t="str">
        <f>IF(OR(_motor!$B$587=0,_motor!$B$674=0),"",_motor!$H$587/_motor!$B$674)</f>
        <v/>
      </c>
      <c r="G7" s="7" t="str">
        <f>IF(_motor!$B$587=0,"",SUMPRODUCT(_motor!$B$586:$B$665*(_motor!$G$586:$G$665&gt;_motor!$G$587))+(SUMPRODUCT(_motor!$B$586:$B$665*(_motor!$G$586:$G$665=_motor!$G$587))+1)/2)</f>
        <v/>
      </c>
      <c r="H7" s="7" t="str">
        <f>IF(_motor!$B$587=0,"",SUMPRODUCT(_motor!$B$586:$B$665*(_motor!$H$586:$H$665&gt;_motor!$H$587))+(SUMPRODUCT(_motor!$B$586:$B$665*(_motor!$H$586:$H$665=_motor!$H$587))+1)/2)</f>
        <v/>
      </c>
      <c r="I7" s="2" t="str">
        <f>IF(_motor!$B$587=0,"",IF(AND(ABS(_motor!$G$587-_motor!$B$670)&lt;=_motor!$B$678+0.000000001,ABS(_motor!$H$587-_motor!$B$670)&lt;=_motor!$B$678+0.000000001),"5 · Pelotón (no concluyente)",IF(AND(_motor!$G$587&gt;=_motor!$B$670,_motor!$H$587&lt;_motor!$B$670),"1 · Entrada / determinante",IF(AND(_motor!$G$587&gt;=_motor!$B$670,_motor!$H$587&gt;=_motor!$B$670),"2 · Intermedia / de enlace",IF(AND(_motor!$G$587&lt;_motor!$B$670,_motor!$H$587&gt;=_motor!$B$670),"3 · Resultado","4 · Excluida / autónoma")))))</f>
        <v/>
      </c>
      <c r="J7" s="2" t="str">
        <f>IF(_motor!$B$587=0,"",IF(AND(ABS(_motor!$G$587-_motor!$B$670)&lt;=_motor!$B$678+0.000000001,ABS(_motor!$H$587-_motor!$B$670)&lt;=_motor!$B$678+0.000000001),"Reguladora",IF(AND(_motor!$G$587&gt;=_motor!$B$670,_motor!$H$587&lt;0.5*_motor!$B$670),"Determinante / entorno",IF(AND(_motor!$G$587&gt;=_motor!$B$670,_motor!$H$587&lt;_motor!$B$670),"Palanca secundaria",IF(AND(_motor!$G$587&gt;=_motor!$B$670,_motor!$H$587&gt;=_motor!$B$670),"Clave / de enlace",IF(AND(_motor!$H$587&gt;=_motor!$B$670,_motor!$G$587&gt;=0.5*_motor!$B$670),"Objetivo",IF(_motor!$H$587&gt;=_motor!$B$670,"Resultado","Autónoma")))))))</f>
        <v/>
      </c>
    </row>
    <row r="8" spans="1:10" x14ac:dyDescent="0.2">
      <c r="A8" s="6" t="str">
        <f>IF(_motor!$B$588=0,"",'02 · Variables'!$B$9)</f>
        <v/>
      </c>
      <c r="B8" s="2" t="str">
        <f>IF(_motor!$B$588=0,"",'02 · Variables'!$C$9)</f>
        <v/>
      </c>
      <c r="C8" s="9" t="str">
        <f>IF(_motor!$B$588=0,"",_motor!$G$588)</f>
        <v/>
      </c>
      <c r="D8" s="9" t="str">
        <f>IF(_motor!$B$588=0,"",_motor!$H$588)</f>
        <v/>
      </c>
      <c r="E8" s="8" t="str">
        <f>IF(OR(_motor!$B$588=0,_motor!$B$674=0),"",_motor!$G$588/_motor!$B$674)</f>
        <v/>
      </c>
      <c r="F8" s="8" t="str">
        <f>IF(OR(_motor!$B$588=0,_motor!$B$674=0),"",_motor!$H$588/_motor!$B$674)</f>
        <v/>
      </c>
      <c r="G8" s="7" t="str">
        <f>IF(_motor!$B$588=0,"",SUMPRODUCT(_motor!$B$586:$B$665*(_motor!$G$586:$G$665&gt;_motor!$G$588))+(SUMPRODUCT(_motor!$B$586:$B$665*(_motor!$G$586:$G$665=_motor!$G$588))+1)/2)</f>
        <v/>
      </c>
      <c r="H8" s="7" t="str">
        <f>IF(_motor!$B$588=0,"",SUMPRODUCT(_motor!$B$586:$B$665*(_motor!$H$586:$H$665&gt;_motor!$H$588))+(SUMPRODUCT(_motor!$B$586:$B$665*(_motor!$H$586:$H$665=_motor!$H$588))+1)/2)</f>
        <v/>
      </c>
      <c r="I8" s="2" t="str">
        <f>IF(_motor!$B$588=0,"",IF(AND(ABS(_motor!$G$588-_motor!$B$670)&lt;=_motor!$B$678+0.000000001,ABS(_motor!$H$588-_motor!$B$670)&lt;=_motor!$B$678+0.000000001),"5 · Pelotón (no concluyente)",IF(AND(_motor!$G$588&gt;=_motor!$B$670,_motor!$H$588&lt;_motor!$B$670),"1 · Entrada / determinante",IF(AND(_motor!$G$588&gt;=_motor!$B$670,_motor!$H$588&gt;=_motor!$B$670),"2 · Intermedia / de enlace",IF(AND(_motor!$G$588&lt;_motor!$B$670,_motor!$H$588&gt;=_motor!$B$670),"3 · Resultado","4 · Excluida / autónoma")))))</f>
        <v/>
      </c>
      <c r="J8" s="2" t="str">
        <f>IF(_motor!$B$588=0,"",IF(AND(ABS(_motor!$G$588-_motor!$B$670)&lt;=_motor!$B$678+0.000000001,ABS(_motor!$H$588-_motor!$B$670)&lt;=_motor!$B$678+0.000000001),"Reguladora",IF(AND(_motor!$G$588&gt;=_motor!$B$670,_motor!$H$588&lt;0.5*_motor!$B$670),"Determinante / entorno",IF(AND(_motor!$G$588&gt;=_motor!$B$670,_motor!$H$588&lt;_motor!$B$670),"Palanca secundaria",IF(AND(_motor!$G$588&gt;=_motor!$B$670,_motor!$H$588&gt;=_motor!$B$670),"Clave / de enlace",IF(AND(_motor!$H$588&gt;=_motor!$B$670,_motor!$G$588&gt;=0.5*_motor!$B$670),"Objetivo",IF(_motor!$H$588&gt;=_motor!$B$670,"Resultado","Autónoma")))))))</f>
        <v/>
      </c>
    </row>
    <row r="9" spans="1:10" x14ac:dyDescent="0.2">
      <c r="A9" s="6" t="str">
        <f>IF(_motor!$B$589=0,"",'02 · Variables'!$B$10)</f>
        <v/>
      </c>
      <c r="B9" s="2" t="str">
        <f>IF(_motor!$B$589=0,"",'02 · Variables'!$C$10)</f>
        <v/>
      </c>
      <c r="C9" s="9" t="str">
        <f>IF(_motor!$B$589=0,"",_motor!$G$589)</f>
        <v/>
      </c>
      <c r="D9" s="9" t="str">
        <f>IF(_motor!$B$589=0,"",_motor!$H$589)</f>
        <v/>
      </c>
      <c r="E9" s="8" t="str">
        <f>IF(OR(_motor!$B$589=0,_motor!$B$674=0),"",_motor!$G$589/_motor!$B$674)</f>
        <v/>
      </c>
      <c r="F9" s="8" t="str">
        <f>IF(OR(_motor!$B$589=0,_motor!$B$674=0),"",_motor!$H$589/_motor!$B$674)</f>
        <v/>
      </c>
      <c r="G9" s="7" t="str">
        <f>IF(_motor!$B$589=0,"",SUMPRODUCT(_motor!$B$586:$B$665*(_motor!$G$586:$G$665&gt;_motor!$G$589))+(SUMPRODUCT(_motor!$B$586:$B$665*(_motor!$G$586:$G$665=_motor!$G$589))+1)/2)</f>
        <v/>
      </c>
      <c r="H9" s="7" t="str">
        <f>IF(_motor!$B$589=0,"",SUMPRODUCT(_motor!$B$586:$B$665*(_motor!$H$586:$H$665&gt;_motor!$H$589))+(SUMPRODUCT(_motor!$B$586:$B$665*(_motor!$H$586:$H$665=_motor!$H$589))+1)/2)</f>
        <v/>
      </c>
      <c r="I9" s="2" t="str">
        <f>IF(_motor!$B$589=0,"",IF(AND(ABS(_motor!$G$589-_motor!$B$670)&lt;=_motor!$B$678+0.000000001,ABS(_motor!$H$589-_motor!$B$670)&lt;=_motor!$B$678+0.000000001),"5 · Pelotón (no concluyente)",IF(AND(_motor!$G$589&gt;=_motor!$B$670,_motor!$H$589&lt;_motor!$B$670),"1 · Entrada / determinante",IF(AND(_motor!$G$589&gt;=_motor!$B$670,_motor!$H$589&gt;=_motor!$B$670),"2 · Intermedia / de enlace",IF(AND(_motor!$G$589&lt;_motor!$B$670,_motor!$H$589&gt;=_motor!$B$670),"3 · Resultado","4 · Excluida / autónoma")))))</f>
        <v/>
      </c>
      <c r="J9" s="2" t="str">
        <f>IF(_motor!$B$589=0,"",IF(AND(ABS(_motor!$G$589-_motor!$B$670)&lt;=_motor!$B$678+0.000000001,ABS(_motor!$H$589-_motor!$B$670)&lt;=_motor!$B$678+0.000000001),"Reguladora",IF(AND(_motor!$G$589&gt;=_motor!$B$670,_motor!$H$589&lt;0.5*_motor!$B$670),"Determinante / entorno",IF(AND(_motor!$G$589&gt;=_motor!$B$670,_motor!$H$589&lt;_motor!$B$670),"Palanca secundaria",IF(AND(_motor!$G$589&gt;=_motor!$B$670,_motor!$H$589&gt;=_motor!$B$670),"Clave / de enlace",IF(AND(_motor!$H$589&gt;=_motor!$B$670,_motor!$G$589&gt;=0.5*_motor!$B$670),"Objetivo",IF(_motor!$H$589&gt;=_motor!$B$670,"Resultado","Autónoma")))))))</f>
        <v/>
      </c>
    </row>
    <row r="10" spans="1:10" x14ac:dyDescent="0.2">
      <c r="A10" s="6" t="str">
        <f>IF(_motor!$B$590=0,"",'02 · Variables'!$B$11)</f>
        <v/>
      </c>
      <c r="B10" s="2" t="str">
        <f>IF(_motor!$B$590=0,"",'02 · Variables'!$C$11)</f>
        <v/>
      </c>
      <c r="C10" s="9" t="str">
        <f>IF(_motor!$B$590=0,"",_motor!$G$590)</f>
        <v/>
      </c>
      <c r="D10" s="9" t="str">
        <f>IF(_motor!$B$590=0,"",_motor!$H$590)</f>
        <v/>
      </c>
      <c r="E10" s="8" t="str">
        <f>IF(OR(_motor!$B$590=0,_motor!$B$674=0),"",_motor!$G$590/_motor!$B$674)</f>
        <v/>
      </c>
      <c r="F10" s="8" t="str">
        <f>IF(OR(_motor!$B$590=0,_motor!$B$674=0),"",_motor!$H$590/_motor!$B$674)</f>
        <v/>
      </c>
      <c r="G10" s="7" t="str">
        <f>IF(_motor!$B$590=0,"",SUMPRODUCT(_motor!$B$586:$B$665*(_motor!$G$586:$G$665&gt;_motor!$G$590))+(SUMPRODUCT(_motor!$B$586:$B$665*(_motor!$G$586:$G$665=_motor!$G$590))+1)/2)</f>
        <v/>
      </c>
      <c r="H10" s="7" t="str">
        <f>IF(_motor!$B$590=0,"",SUMPRODUCT(_motor!$B$586:$B$665*(_motor!$H$586:$H$665&gt;_motor!$H$590))+(SUMPRODUCT(_motor!$B$586:$B$665*(_motor!$H$586:$H$665=_motor!$H$590))+1)/2)</f>
        <v/>
      </c>
      <c r="I10" s="2" t="str">
        <f>IF(_motor!$B$590=0,"",IF(AND(ABS(_motor!$G$590-_motor!$B$670)&lt;=_motor!$B$678+0.000000001,ABS(_motor!$H$590-_motor!$B$670)&lt;=_motor!$B$678+0.000000001),"5 · Pelotón (no concluyente)",IF(AND(_motor!$G$590&gt;=_motor!$B$670,_motor!$H$590&lt;_motor!$B$670),"1 · Entrada / determinante",IF(AND(_motor!$G$590&gt;=_motor!$B$670,_motor!$H$590&gt;=_motor!$B$670),"2 · Intermedia / de enlace",IF(AND(_motor!$G$590&lt;_motor!$B$670,_motor!$H$590&gt;=_motor!$B$670),"3 · Resultado","4 · Excluida / autónoma")))))</f>
        <v/>
      </c>
      <c r="J10" s="2" t="str">
        <f>IF(_motor!$B$590=0,"",IF(AND(ABS(_motor!$G$590-_motor!$B$670)&lt;=_motor!$B$678+0.000000001,ABS(_motor!$H$590-_motor!$B$670)&lt;=_motor!$B$678+0.000000001),"Reguladora",IF(AND(_motor!$G$590&gt;=_motor!$B$670,_motor!$H$590&lt;0.5*_motor!$B$670),"Determinante / entorno",IF(AND(_motor!$G$590&gt;=_motor!$B$670,_motor!$H$590&lt;_motor!$B$670),"Palanca secundaria",IF(AND(_motor!$G$590&gt;=_motor!$B$670,_motor!$H$590&gt;=_motor!$B$670),"Clave / de enlace",IF(AND(_motor!$H$590&gt;=_motor!$B$670,_motor!$G$590&gt;=0.5*_motor!$B$670),"Objetivo",IF(_motor!$H$590&gt;=_motor!$B$670,"Resultado","Autónoma")))))))</f>
        <v/>
      </c>
    </row>
    <row r="11" spans="1:10" x14ac:dyDescent="0.2">
      <c r="A11" s="6" t="str">
        <f>IF(_motor!$B$591=0,"",'02 · Variables'!$B$12)</f>
        <v/>
      </c>
      <c r="B11" s="2" t="str">
        <f>IF(_motor!$B$591=0,"",'02 · Variables'!$C$12)</f>
        <v/>
      </c>
      <c r="C11" s="9" t="str">
        <f>IF(_motor!$B$591=0,"",_motor!$G$591)</f>
        <v/>
      </c>
      <c r="D11" s="9" t="str">
        <f>IF(_motor!$B$591=0,"",_motor!$H$591)</f>
        <v/>
      </c>
      <c r="E11" s="8" t="str">
        <f>IF(OR(_motor!$B$591=0,_motor!$B$674=0),"",_motor!$G$591/_motor!$B$674)</f>
        <v/>
      </c>
      <c r="F11" s="8" t="str">
        <f>IF(OR(_motor!$B$591=0,_motor!$B$674=0),"",_motor!$H$591/_motor!$B$674)</f>
        <v/>
      </c>
      <c r="G11" s="7" t="str">
        <f>IF(_motor!$B$591=0,"",SUMPRODUCT(_motor!$B$586:$B$665*(_motor!$G$586:$G$665&gt;_motor!$G$591))+(SUMPRODUCT(_motor!$B$586:$B$665*(_motor!$G$586:$G$665=_motor!$G$591))+1)/2)</f>
        <v/>
      </c>
      <c r="H11" s="7" t="str">
        <f>IF(_motor!$B$591=0,"",SUMPRODUCT(_motor!$B$586:$B$665*(_motor!$H$586:$H$665&gt;_motor!$H$591))+(SUMPRODUCT(_motor!$B$586:$B$665*(_motor!$H$586:$H$665=_motor!$H$591))+1)/2)</f>
        <v/>
      </c>
      <c r="I11" s="2" t="str">
        <f>IF(_motor!$B$591=0,"",IF(AND(ABS(_motor!$G$591-_motor!$B$670)&lt;=_motor!$B$678+0.000000001,ABS(_motor!$H$591-_motor!$B$670)&lt;=_motor!$B$678+0.000000001),"5 · Pelotón (no concluyente)",IF(AND(_motor!$G$591&gt;=_motor!$B$670,_motor!$H$591&lt;_motor!$B$670),"1 · Entrada / determinante",IF(AND(_motor!$G$591&gt;=_motor!$B$670,_motor!$H$591&gt;=_motor!$B$670),"2 · Intermedia / de enlace",IF(AND(_motor!$G$591&lt;_motor!$B$670,_motor!$H$591&gt;=_motor!$B$670),"3 · Resultado","4 · Excluida / autónoma")))))</f>
        <v/>
      </c>
      <c r="J11" s="2" t="str">
        <f>IF(_motor!$B$591=0,"",IF(AND(ABS(_motor!$G$591-_motor!$B$670)&lt;=_motor!$B$678+0.000000001,ABS(_motor!$H$591-_motor!$B$670)&lt;=_motor!$B$678+0.000000001),"Reguladora",IF(AND(_motor!$G$591&gt;=_motor!$B$670,_motor!$H$591&lt;0.5*_motor!$B$670),"Determinante / entorno",IF(AND(_motor!$G$591&gt;=_motor!$B$670,_motor!$H$591&lt;_motor!$B$670),"Palanca secundaria",IF(AND(_motor!$G$591&gt;=_motor!$B$670,_motor!$H$591&gt;=_motor!$B$670),"Clave / de enlace",IF(AND(_motor!$H$591&gt;=_motor!$B$670,_motor!$G$591&gt;=0.5*_motor!$B$670),"Objetivo",IF(_motor!$H$591&gt;=_motor!$B$670,"Resultado","Autónoma")))))))</f>
        <v/>
      </c>
    </row>
    <row r="12" spans="1:10" x14ac:dyDescent="0.2">
      <c r="A12" s="6" t="str">
        <f>IF(_motor!$B$592=0,"",'02 · Variables'!$B$13)</f>
        <v/>
      </c>
      <c r="B12" s="2" t="str">
        <f>IF(_motor!$B$592=0,"",'02 · Variables'!$C$13)</f>
        <v/>
      </c>
      <c r="C12" s="9" t="str">
        <f>IF(_motor!$B$592=0,"",_motor!$G$592)</f>
        <v/>
      </c>
      <c r="D12" s="9" t="str">
        <f>IF(_motor!$B$592=0,"",_motor!$H$592)</f>
        <v/>
      </c>
      <c r="E12" s="8" t="str">
        <f>IF(OR(_motor!$B$592=0,_motor!$B$674=0),"",_motor!$G$592/_motor!$B$674)</f>
        <v/>
      </c>
      <c r="F12" s="8" t="str">
        <f>IF(OR(_motor!$B$592=0,_motor!$B$674=0),"",_motor!$H$592/_motor!$B$674)</f>
        <v/>
      </c>
      <c r="G12" s="7" t="str">
        <f>IF(_motor!$B$592=0,"",SUMPRODUCT(_motor!$B$586:$B$665*(_motor!$G$586:$G$665&gt;_motor!$G$592))+(SUMPRODUCT(_motor!$B$586:$B$665*(_motor!$G$586:$G$665=_motor!$G$592))+1)/2)</f>
        <v/>
      </c>
      <c r="H12" s="7" t="str">
        <f>IF(_motor!$B$592=0,"",SUMPRODUCT(_motor!$B$586:$B$665*(_motor!$H$586:$H$665&gt;_motor!$H$592))+(SUMPRODUCT(_motor!$B$586:$B$665*(_motor!$H$586:$H$665=_motor!$H$592))+1)/2)</f>
        <v/>
      </c>
      <c r="I12" s="2" t="str">
        <f>IF(_motor!$B$592=0,"",IF(AND(ABS(_motor!$G$592-_motor!$B$670)&lt;=_motor!$B$678+0.000000001,ABS(_motor!$H$592-_motor!$B$670)&lt;=_motor!$B$678+0.000000001),"5 · Pelotón (no concluyente)",IF(AND(_motor!$G$592&gt;=_motor!$B$670,_motor!$H$592&lt;_motor!$B$670),"1 · Entrada / determinante",IF(AND(_motor!$G$592&gt;=_motor!$B$670,_motor!$H$592&gt;=_motor!$B$670),"2 · Intermedia / de enlace",IF(AND(_motor!$G$592&lt;_motor!$B$670,_motor!$H$592&gt;=_motor!$B$670),"3 · Resultado","4 · Excluida / autónoma")))))</f>
        <v/>
      </c>
      <c r="J12" s="2" t="str">
        <f>IF(_motor!$B$592=0,"",IF(AND(ABS(_motor!$G$592-_motor!$B$670)&lt;=_motor!$B$678+0.000000001,ABS(_motor!$H$592-_motor!$B$670)&lt;=_motor!$B$678+0.000000001),"Reguladora",IF(AND(_motor!$G$592&gt;=_motor!$B$670,_motor!$H$592&lt;0.5*_motor!$B$670),"Determinante / entorno",IF(AND(_motor!$G$592&gt;=_motor!$B$670,_motor!$H$592&lt;_motor!$B$670),"Palanca secundaria",IF(AND(_motor!$G$592&gt;=_motor!$B$670,_motor!$H$592&gt;=_motor!$B$670),"Clave / de enlace",IF(AND(_motor!$H$592&gt;=_motor!$B$670,_motor!$G$592&gt;=0.5*_motor!$B$670),"Objetivo",IF(_motor!$H$592&gt;=_motor!$B$670,"Resultado","Autónoma")))))))</f>
        <v/>
      </c>
    </row>
    <row r="13" spans="1:10" x14ac:dyDescent="0.2">
      <c r="A13" s="6" t="str">
        <f>IF(_motor!$B$593=0,"",'02 · Variables'!$B$14)</f>
        <v/>
      </c>
      <c r="B13" s="2" t="str">
        <f>IF(_motor!$B$593=0,"",'02 · Variables'!$C$14)</f>
        <v/>
      </c>
      <c r="C13" s="9" t="str">
        <f>IF(_motor!$B$593=0,"",_motor!$G$593)</f>
        <v/>
      </c>
      <c r="D13" s="9" t="str">
        <f>IF(_motor!$B$593=0,"",_motor!$H$593)</f>
        <v/>
      </c>
      <c r="E13" s="8" t="str">
        <f>IF(OR(_motor!$B$593=0,_motor!$B$674=0),"",_motor!$G$593/_motor!$B$674)</f>
        <v/>
      </c>
      <c r="F13" s="8" t="str">
        <f>IF(OR(_motor!$B$593=0,_motor!$B$674=0),"",_motor!$H$593/_motor!$B$674)</f>
        <v/>
      </c>
      <c r="G13" s="7" t="str">
        <f>IF(_motor!$B$593=0,"",SUMPRODUCT(_motor!$B$586:$B$665*(_motor!$G$586:$G$665&gt;_motor!$G$593))+(SUMPRODUCT(_motor!$B$586:$B$665*(_motor!$G$586:$G$665=_motor!$G$593))+1)/2)</f>
        <v/>
      </c>
      <c r="H13" s="7" t="str">
        <f>IF(_motor!$B$593=0,"",SUMPRODUCT(_motor!$B$586:$B$665*(_motor!$H$586:$H$665&gt;_motor!$H$593))+(SUMPRODUCT(_motor!$B$586:$B$665*(_motor!$H$586:$H$665=_motor!$H$593))+1)/2)</f>
        <v/>
      </c>
      <c r="I13" s="2" t="str">
        <f>IF(_motor!$B$593=0,"",IF(AND(ABS(_motor!$G$593-_motor!$B$670)&lt;=_motor!$B$678+0.000000001,ABS(_motor!$H$593-_motor!$B$670)&lt;=_motor!$B$678+0.000000001),"5 · Pelotón (no concluyente)",IF(AND(_motor!$G$593&gt;=_motor!$B$670,_motor!$H$593&lt;_motor!$B$670),"1 · Entrada / determinante",IF(AND(_motor!$G$593&gt;=_motor!$B$670,_motor!$H$593&gt;=_motor!$B$670),"2 · Intermedia / de enlace",IF(AND(_motor!$G$593&lt;_motor!$B$670,_motor!$H$593&gt;=_motor!$B$670),"3 · Resultado","4 · Excluida / autónoma")))))</f>
        <v/>
      </c>
      <c r="J13" s="2" t="str">
        <f>IF(_motor!$B$593=0,"",IF(AND(ABS(_motor!$G$593-_motor!$B$670)&lt;=_motor!$B$678+0.000000001,ABS(_motor!$H$593-_motor!$B$670)&lt;=_motor!$B$678+0.000000001),"Reguladora",IF(AND(_motor!$G$593&gt;=_motor!$B$670,_motor!$H$593&lt;0.5*_motor!$B$670),"Determinante / entorno",IF(AND(_motor!$G$593&gt;=_motor!$B$670,_motor!$H$593&lt;_motor!$B$670),"Palanca secundaria",IF(AND(_motor!$G$593&gt;=_motor!$B$670,_motor!$H$593&gt;=_motor!$B$670),"Clave / de enlace",IF(AND(_motor!$H$593&gt;=_motor!$B$670,_motor!$G$593&gt;=0.5*_motor!$B$670),"Objetivo",IF(_motor!$H$593&gt;=_motor!$B$670,"Resultado","Autónoma")))))))</f>
        <v/>
      </c>
    </row>
    <row r="14" spans="1:10" x14ac:dyDescent="0.2">
      <c r="A14" s="6" t="str">
        <f>IF(_motor!$B$594=0,"",'02 · Variables'!$B$15)</f>
        <v/>
      </c>
      <c r="B14" s="2" t="str">
        <f>IF(_motor!$B$594=0,"",'02 · Variables'!$C$15)</f>
        <v/>
      </c>
      <c r="C14" s="9" t="str">
        <f>IF(_motor!$B$594=0,"",_motor!$G$594)</f>
        <v/>
      </c>
      <c r="D14" s="9" t="str">
        <f>IF(_motor!$B$594=0,"",_motor!$H$594)</f>
        <v/>
      </c>
      <c r="E14" s="8" t="str">
        <f>IF(OR(_motor!$B$594=0,_motor!$B$674=0),"",_motor!$G$594/_motor!$B$674)</f>
        <v/>
      </c>
      <c r="F14" s="8" t="str">
        <f>IF(OR(_motor!$B$594=0,_motor!$B$674=0),"",_motor!$H$594/_motor!$B$674)</f>
        <v/>
      </c>
      <c r="G14" s="7" t="str">
        <f>IF(_motor!$B$594=0,"",SUMPRODUCT(_motor!$B$586:$B$665*(_motor!$G$586:$G$665&gt;_motor!$G$594))+(SUMPRODUCT(_motor!$B$586:$B$665*(_motor!$G$586:$G$665=_motor!$G$594))+1)/2)</f>
        <v/>
      </c>
      <c r="H14" s="7" t="str">
        <f>IF(_motor!$B$594=0,"",SUMPRODUCT(_motor!$B$586:$B$665*(_motor!$H$586:$H$665&gt;_motor!$H$594))+(SUMPRODUCT(_motor!$B$586:$B$665*(_motor!$H$586:$H$665=_motor!$H$594))+1)/2)</f>
        <v/>
      </c>
      <c r="I14" s="2" t="str">
        <f>IF(_motor!$B$594=0,"",IF(AND(ABS(_motor!$G$594-_motor!$B$670)&lt;=_motor!$B$678+0.000000001,ABS(_motor!$H$594-_motor!$B$670)&lt;=_motor!$B$678+0.000000001),"5 · Pelotón (no concluyente)",IF(AND(_motor!$G$594&gt;=_motor!$B$670,_motor!$H$594&lt;_motor!$B$670),"1 · Entrada / determinante",IF(AND(_motor!$G$594&gt;=_motor!$B$670,_motor!$H$594&gt;=_motor!$B$670),"2 · Intermedia / de enlace",IF(AND(_motor!$G$594&lt;_motor!$B$670,_motor!$H$594&gt;=_motor!$B$670),"3 · Resultado","4 · Excluida / autónoma")))))</f>
        <v/>
      </c>
      <c r="J14" s="2" t="str">
        <f>IF(_motor!$B$594=0,"",IF(AND(ABS(_motor!$G$594-_motor!$B$670)&lt;=_motor!$B$678+0.000000001,ABS(_motor!$H$594-_motor!$B$670)&lt;=_motor!$B$678+0.000000001),"Reguladora",IF(AND(_motor!$G$594&gt;=_motor!$B$670,_motor!$H$594&lt;0.5*_motor!$B$670),"Determinante / entorno",IF(AND(_motor!$G$594&gt;=_motor!$B$670,_motor!$H$594&lt;_motor!$B$670),"Palanca secundaria",IF(AND(_motor!$G$594&gt;=_motor!$B$670,_motor!$H$594&gt;=_motor!$B$670),"Clave / de enlace",IF(AND(_motor!$H$594&gt;=_motor!$B$670,_motor!$G$594&gt;=0.5*_motor!$B$670),"Objetivo",IF(_motor!$H$594&gt;=_motor!$B$670,"Resultado","Autónoma")))))))</f>
        <v/>
      </c>
    </row>
    <row r="15" spans="1:10" x14ac:dyDescent="0.2">
      <c r="A15" s="6" t="str">
        <f>IF(_motor!$B$595=0,"",'02 · Variables'!$B$16)</f>
        <v/>
      </c>
      <c r="B15" s="2" t="str">
        <f>IF(_motor!$B$595=0,"",'02 · Variables'!$C$16)</f>
        <v/>
      </c>
      <c r="C15" s="9" t="str">
        <f>IF(_motor!$B$595=0,"",_motor!$G$595)</f>
        <v/>
      </c>
      <c r="D15" s="9" t="str">
        <f>IF(_motor!$B$595=0,"",_motor!$H$595)</f>
        <v/>
      </c>
      <c r="E15" s="8" t="str">
        <f>IF(OR(_motor!$B$595=0,_motor!$B$674=0),"",_motor!$G$595/_motor!$B$674)</f>
        <v/>
      </c>
      <c r="F15" s="8" t="str">
        <f>IF(OR(_motor!$B$595=0,_motor!$B$674=0),"",_motor!$H$595/_motor!$B$674)</f>
        <v/>
      </c>
      <c r="G15" s="7" t="str">
        <f>IF(_motor!$B$595=0,"",SUMPRODUCT(_motor!$B$586:$B$665*(_motor!$G$586:$G$665&gt;_motor!$G$595))+(SUMPRODUCT(_motor!$B$586:$B$665*(_motor!$G$586:$G$665=_motor!$G$595))+1)/2)</f>
        <v/>
      </c>
      <c r="H15" s="7" t="str">
        <f>IF(_motor!$B$595=0,"",SUMPRODUCT(_motor!$B$586:$B$665*(_motor!$H$586:$H$665&gt;_motor!$H$595))+(SUMPRODUCT(_motor!$B$586:$B$665*(_motor!$H$586:$H$665=_motor!$H$595))+1)/2)</f>
        <v/>
      </c>
      <c r="I15" s="2" t="str">
        <f>IF(_motor!$B$595=0,"",IF(AND(ABS(_motor!$G$595-_motor!$B$670)&lt;=_motor!$B$678+0.000000001,ABS(_motor!$H$595-_motor!$B$670)&lt;=_motor!$B$678+0.000000001),"5 · Pelotón (no concluyente)",IF(AND(_motor!$G$595&gt;=_motor!$B$670,_motor!$H$595&lt;_motor!$B$670),"1 · Entrada / determinante",IF(AND(_motor!$G$595&gt;=_motor!$B$670,_motor!$H$595&gt;=_motor!$B$670),"2 · Intermedia / de enlace",IF(AND(_motor!$G$595&lt;_motor!$B$670,_motor!$H$595&gt;=_motor!$B$670),"3 · Resultado","4 · Excluida / autónoma")))))</f>
        <v/>
      </c>
      <c r="J15" s="2" t="str">
        <f>IF(_motor!$B$595=0,"",IF(AND(ABS(_motor!$G$595-_motor!$B$670)&lt;=_motor!$B$678+0.000000001,ABS(_motor!$H$595-_motor!$B$670)&lt;=_motor!$B$678+0.000000001),"Reguladora",IF(AND(_motor!$G$595&gt;=_motor!$B$670,_motor!$H$595&lt;0.5*_motor!$B$670),"Determinante / entorno",IF(AND(_motor!$G$595&gt;=_motor!$B$670,_motor!$H$595&lt;_motor!$B$670),"Palanca secundaria",IF(AND(_motor!$G$595&gt;=_motor!$B$670,_motor!$H$595&gt;=_motor!$B$670),"Clave / de enlace",IF(AND(_motor!$H$595&gt;=_motor!$B$670,_motor!$G$595&gt;=0.5*_motor!$B$670),"Objetivo",IF(_motor!$H$595&gt;=_motor!$B$670,"Resultado","Autónoma")))))))</f>
        <v/>
      </c>
    </row>
    <row r="16" spans="1:10" x14ac:dyDescent="0.2">
      <c r="A16" s="6" t="str">
        <f>IF(_motor!$B$596=0,"",'02 · Variables'!$B$17)</f>
        <v/>
      </c>
      <c r="B16" s="2" t="str">
        <f>IF(_motor!$B$596=0,"",'02 · Variables'!$C$17)</f>
        <v/>
      </c>
      <c r="C16" s="9" t="str">
        <f>IF(_motor!$B$596=0,"",_motor!$G$596)</f>
        <v/>
      </c>
      <c r="D16" s="9" t="str">
        <f>IF(_motor!$B$596=0,"",_motor!$H$596)</f>
        <v/>
      </c>
      <c r="E16" s="8" t="str">
        <f>IF(OR(_motor!$B$596=0,_motor!$B$674=0),"",_motor!$G$596/_motor!$B$674)</f>
        <v/>
      </c>
      <c r="F16" s="8" t="str">
        <f>IF(OR(_motor!$B$596=0,_motor!$B$674=0),"",_motor!$H$596/_motor!$B$674)</f>
        <v/>
      </c>
      <c r="G16" s="7" t="str">
        <f>IF(_motor!$B$596=0,"",SUMPRODUCT(_motor!$B$586:$B$665*(_motor!$G$586:$G$665&gt;_motor!$G$596))+(SUMPRODUCT(_motor!$B$586:$B$665*(_motor!$G$586:$G$665=_motor!$G$596))+1)/2)</f>
        <v/>
      </c>
      <c r="H16" s="7" t="str">
        <f>IF(_motor!$B$596=0,"",SUMPRODUCT(_motor!$B$586:$B$665*(_motor!$H$586:$H$665&gt;_motor!$H$596))+(SUMPRODUCT(_motor!$B$586:$B$665*(_motor!$H$586:$H$665=_motor!$H$596))+1)/2)</f>
        <v/>
      </c>
      <c r="I16" s="2" t="str">
        <f>IF(_motor!$B$596=0,"",IF(AND(ABS(_motor!$G$596-_motor!$B$670)&lt;=_motor!$B$678+0.000000001,ABS(_motor!$H$596-_motor!$B$670)&lt;=_motor!$B$678+0.000000001),"5 · Pelotón (no concluyente)",IF(AND(_motor!$G$596&gt;=_motor!$B$670,_motor!$H$596&lt;_motor!$B$670),"1 · Entrada / determinante",IF(AND(_motor!$G$596&gt;=_motor!$B$670,_motor!$H$596&gt;=_motor!$B$670),"2 · Intermedia / de enlace",IF(AND(_motor!$G$596&lt;_motor!$B$670,_motor!$H$596&gt;=_motor!$B$670),"3 · Resultado","4 · Excluida / autónoma")))))</f>
        <v/>
      </c>
      <c r="J16" s="2" t="str">
        <f>IF(_motor!$B$596=0,"",IF(AND(ABS(_motor!$G$596-_motor!$B$670)&lt;=_motor!$B$678+0.000000001,ABS(_motor!$H$596-_motor!$B$670)&lt;=_motor!$B$678+0.000000001),"Reguladora",IF(AND(_motor!$G$596&gt;=_motor!$B$670,_motor!$H$596&lt;0.5*_motor!$B$670),"Determinante / entorno",IF(AND(_motor!$G$596&gt;=_motor!$B$670,_motor!$H$596&lt;_motor!$B$670),"Palanca secundaria",IF(AND(_motor!$G$596&gt;=_motor!$B$670,_motor!$H$596&gt;=_motor!$B$670),"Clave / de enlace",IF(AND(_motor!$H$596&gt;=_motor!$B$670,_motor!$G$596&gt;=0.5*_motor!$B$670),"Objetivo",IF(_motor!$H$596&gt;=_motor!$B$670,"Resultado","Autónoma")))))))</f>
        <v/>
      </c>
    </row>
    <row r="17" spans="1:10" x14ac:dyDescent="0.2">
      <c r="A17" s="6" t="str">
        <f>IF(_motor!$B$597=0,"",'02 · Variables'!$B$18)</f>
        <v/>
      </c>
      <c r="B17" s="2" t="str">
        <f>IF(_motor!$B$597=0,"",'02 · Variables'!$C$18)</f>
        <v/>
      </c>
      <c r="C17" s="9" t="str">
        <f>IF(_motor!$B$597=0,"",_motor!$G$597)</f>
        <v/>
      </c>
      <c r="D17" s="9" t="str">
        <f>IF(_motor!$B$597=0,"",_motor!$H$597)</f>
        <v/>
      </c>
      <c r="E17" s="8" t="str">
        <f>IF(OR(_motor!$B$597=0,_motor!$B$674=0),"",_motor!$G$597/_motor!$B$674)</f>
        <v/>
      </c>
      <c r="F17" s="8" t="str">
        <f>IF(OR(_motor!$B$597=0,_motor!$B$674=0),"",_motor!$H$597/_motor!$B$674)</f>
        <v/>
      </c>
      <c r="G17" s="7" t="str">
        <f>IF(_motor!$B$597=0,"",SUMPRODUCT(_motor!$B$586:$B$665*(_motor!$G$586:$G$665&gt;_motor!$G$597))+(SUMPRODUCT(_motor!$B$586:$B$665*(_motor!$G$586:$G$665=_motor!$G$597))+1)/2)</f>
        <v/>
      </c>
      <c r="H17" s="7" t="str">
        <f>IF(_motor!$B$597=0,"",SUMPRODUCT(_motor!$B$586:$B$665*(_motor!$H$586:$H$665&gt;_motor!$H$597))+(SUMPRODUCT(_motor!$B$586:$B$665*(_motor!$H$586:$H$665=_motor!$H$597))+1)/2)</f>
        <v/>
      </c>
      <c r="I17" s="2" t="str">
        <f>IF(_motor!$B$597=0,"",IF(AND(ABS(_motor!$G$597-_motor!$B$670)&lt;=_motor!$B$678+0.000000001,ABS(_motor!$H$597-_motor!$B$670)&lt;=_motor!$B$678+0.000000001),"5 · Pelotón (no concluyente)",IF(AND(_motor!$G$597&gt;=_motor!$B$670,_motor!$H$597&lt;_motor!$B$670),"1 · Entrada / determinante",IF(AND(_motor!$G$597&gt;=_motor!$B$670,_motor!$H$597&gt;=_motor!$B$670),"2 · Intermedia / de enlace",IF(AND(_motor!$G$597&lt;_motor!$B$670,_motor!$H$597&gt;=_motor!$B$670),"3 · Resultado","4 · Excluida / autónoma")))))</f>
        <v/>
      </c>
      <c r="J17" s="2" t="str">
        <f>IF(_motor!$B$597=0,"",IF(AND(ABS(_motor!$G$597-_motor!$B$670)&lt;=_motor!$B$678+0.000000001,ABS(_motor!$H$597-_motor!$B$670)&lt;=_motor!$B$678+0.000000001),"Reguladora",IF(AND(_motor!$G$597&gt;=_motor!$B$670,_motor!$H$597&lt;0.5*_motor!$B$670),"Determinante / entorno",IF(AND(_motor!$G$597&gt;=_motor!$B$670,_motor!$H$597&lt;_motor!$B$670),"Palanca secundaria",IF(AND(_motor!$G$597&gt;=_motor!$B$670,_motor!$H$597&gt;=_motor!$B$670),"Clave / de enlace",IF(AND(_motor!$H$597&gt;=_motor!$B$670,_motor!$G$597&gt;=0.5*_motor!$B$670),"Objetivo",IF(_motor!$H$597&gt;=_motor!$B$670,"Resultado","Autónoma")))))))</f>
        <v/>
      </c>
    </row>
    <row r="18" spans="1:10" x14ac:dyDescent="0.2">
      <c r="A18" s="6" t="str">
        <f>IF(_motor!$B$598=0,"",'02 · Variables'!$B$19)</f>
        <v/>
      </c>
      <c r="B18" s="2" t="str">
        <f>IF(_motor!$B$598=0,"",'02 · Variables'!$C$19)</f>
        <v/>
      </c>
      <c r="C18" s="9" t="str">
        <f>IF(_motor!$B$598=0,"",_motor!$G$598)</f>
        <v/>
      </c>
      <c r="D18" s="9" t="str">
        <f>IF(_motor!$B$598=0,"",_motor!$H$598)</f>
        <v/>
      </c>
      <c r="E18" s="8" t="str">
        <f>IF(OR(_motor!$B$598=0,_motor!$B$674=0),"",_motor!$G$598/_motor!$B$674)</f>
        <v/>
      </c>
      <c r="F18" s="8" t="str">
        <f>IF(OR(_motor!$B$598=0,_motor!$B$674=0),"",_motor!$H$598/_motor!$B$674)</f>
        <v/>
      </c>
      <c r="G18" s="7" t="str">
        <f>IF(_motor!$B$598=0,"",SUMPRODUCT(_motor!$B$586:$B$665*(_motor!$G$586:$G$665&gt;_motor!$G$598))+(SUMPRODUCT(_motor!$B$586:$B$665*(_motor!$G$586:$G$665=_motor!$G$598))+1)/2)</f>
        <v/>
      </c>
      <c r="H18" s="7" t="str">
        <f>IF(_motor!$B$598=0,"",SUMPRODUCT(_motor!$B$586:$B$665*(_motor!$H$586:$H$665&gt;_motor!$H$598))+(SUMPRODUCT(_motor!$B$586:$B$665*(_motor!$H$586:$H$665=_motor!$H$598))+1)/2)</f>
        <v/>
      </c>
      <c r="I18" s="2" t="str">
        <f>IF(_motor!$B$598=0,"",IF(AND(ABS(_motor!$G$598-_motor!$B$670)&lt;=_motor!$B$678+0.000000001,ABS(_motor!$H$598-_motor!$B$670)&lt;=_motor!$B$678+0.000000001),"5 · Pelotón (no concluyente)",IF(AND(_motor!$G$598&gt;=_motor!$B$670,_motor!$H$598&lt;_motor!$B$670),"1 · Entrada / determinante",IF(AND(_motor!$G$598&gt;=_motor!$B$670,_motor!$H$598&gt;=_motor!$B$670),"2 · Intermedia / de enlace",IF(AND(_motor!$G$598&lt;_motor!$B$670,_motor!$H$598&gt;=_motor!$B$670),"3 · Resultado","4 · Excluida / autónoma")))))</f>
        <v/>
      </c>
      <c r="J18" s="2" t="str">
        <f>IF(_motor!$B$598=0,"",IF(AND(ABS(_motor!$G$598-_motor!$B$670)&lt;=_motor!$B$678+0.000000001,ABS(_motor!$H$598-_motor!$B$670)&lt;=_motor!$B$678+0.000000001),"Reguladora",IF(AND(_motor!$G$598&gt;=_motor!$B$670,_motor!$H$598&lt;0.5*_motor!$B$670),"Determinante / entorno",IF(AND(_motor!$G$598&gt;=_motor!$B$670,_motor!$H$598&lt;_motor!$B$670),"Palanca secundaria",IF(AND(_motor!$G$598&gt;=_motor!$B$670,_motor!$H$598&gt;=_motor!$B$670),"Clave / de enlace",IF(AND(_motor!$H$598&gt;=_motor!$B$670,_motor!$G$598&gt;=0.5*_motor!$B$670),"Objetivo",IF(_motor!$H$598&gt;=_motor!$B$670,"Resultado","Autónoma")))))))</f>
        <v/>
      </c>
    </row>
    <row r="19" spans="1:10" x14ac:dyDescent="0.2">
      <c r="A19" s="6" t="str">
        <f>IF(_motor!$B$599=0,"",'02 · Variables'!$B$20)</f>
        <v/>
      </c>
      <c r="B19" s="2" t="str">
        <f>IF(_motor!$B$599=0,"",'02 · Variables'!$C$20)</f>
        <v/>
      </c>
      <c r="C19" s="9" t="str">
        <f>IF(_motor!$B$599=0,"",_motor!$G$599)</f>
        <v/>
      </c>
      <c r="D19" s="9" t="str">
        <f>IF(_motor!$B$599=0,"",_motor!$H$599)</f>
        <v/>
      </c>
      <c r="E19" s="8" t="str">
        <f>IF(OR(_motor!$B$599=0,_motor!$B$674=0),"",_motor!$G$599/_motor!$B$674)</f>
        <v/>
      </c>
      <c r="F19" s="8" t="str">
        <f>IF(OR(_motor!$B$599=0,_motor!$B$674=0),"",_motor!$H$599/_motor!$B$674)</f>
        <v/>
      </c>
      <c r="G19" s="7" t="str">
        <f>IF(_motor!$B$599=0,"",SUMPRODUCT(_motor!$B$586:$B$665*(_motor!$G$586:$G$665&gt;_motor!$G$599))+(SUMPRODUCT(_motor!$B$586:$B$665*(_motor!$G$586:$G$665=_motor!$G$599))+1)/2)</f>
        <v/>
      </c>
      <c r="H19" s="7" t="str">
        <f>IF(_motor!$B$599=0,"",SUMPRODUCT(_motor!$B$586:$B$665*(_motor!$H$586:$H$665&gt;_motor!$H$599))+(SUMPRODUCT(_motor!$B$586:$B$665*(_motor!$H$586:$H$665=_motor!$H$599))+1)/2)</f>
        <v/>
      </c>
      <c r="I19" s="2" t="str">
        <f>IF(_motor!$B$599=0,"",IF(AND(ABS(_motor!$G$599-_motor!$B$670)&lt;=_motor!$B$678+0.000000001,ABS(_motor!$H$599-_motor!$B$670)&lt;=_motor!$B$678+0.000000001),"5 · Pelotón (no concluyente)",IF(AND(_motor!$G$599&gt;=_motor!$B$670,_motor!$H$599&lt;_motor!$B$670),"1 · Entrada / determinante",IF(AND(_motor!$G$599&gt;=_motor!$B$670,_motor!$H$599&gt;=_motor!$B$670),"2 · Intermedia / de enlace",IF(AND(_motor!$G$599&lt;_motor!$B$670,_motor!$H$599&gt;=_motor!$B$670),"3 · Resultado","4 · Excluida / autónoma")))))</f>
        <v/>
      </c>
      <c r="J19" s="2" t="str">
        <f>IF(_motor!$B$599=0,"",IF(AND(ABS(_motor!$G$599-_motor!$B$670)&lt;=_motor!$B$678+0.000000001,ABS(_motor!$H$599-_motor!$B$670)&lt;=_motor!$B$678+0.000000001),"Reguladora",IF(AND(_motor!$G$599&gt;=_motor!$B$670,_motor!$H$599&lt;0.5*_motor!$B$670),"Determinante / entorno",IF(AND(_motor!$G$599&gt;=_motor!$B$670,_motor!$H$599&lt;_motor!$B$670),"Palanca secundaria",IF(AND(_motor!$G$599&gt;=_motor!$B$670,_motor!$H$599&gt;=_motor!$B$670),"Clave / de enlace",IF(AND(_motor!$H$599&gt;=_motor!$B$670,_motor!$G$599&gt;=0.5*_motor!$B$670),"Objetivo",IF(_motor!$H$599&gt;=_motor!$B$670,"Resultado","Autónoma")))))))</f>
        <v/>
      </c>
    </row>
    <row r="20" spans="1:10" x14ac:dyDescent="0.2">
      <c r="A20" s="6" t="str">
        <f>IF(_motor!$B$600=0,"",'02 · Variables'!$B$21)</f>
        <v/>
      </c>
      <c r="B20" s="2" t="str">
        <f>IF(_motor!$B$600=0,"",'02 · Variables'!$C$21)</f>
        <v/>
      </c>
      <c r="C20" s="9" t="str">
        <f>IF(_motor!$B$600=0,"",_motor!$G$600)</f>
        <v/>
      </c>
      <c r="D20" s="9" t="str">
        <f>IF(_motor!$B$600=0,"",_motor!$H$600)</f>
        <v/>
      </c>
      <c r="E20" s="8" t="str">
        <f>IF(OR(_motor!$B$600=0,_motor!$B$674=0),"",_motor!$G$600/_motor!$B$674)</f>
        <v/>
      </c>
      <c r="F20" s="8" t="str">
        <f>IF(OR(_motor!$B$600=0,_motor!$B$674=0),"",_motor!$H$600/_motor!$B$674)</f>
        <v/>
      </c>
      <c r="G20" s="7" t="str">
        <f>IF(_motor!$B$600=0,"",SUMPRODUCT(_motor!$B$586:$B$665*(_motor!$G$586:$G$665&gt;_motor!$G$600))+(SUMPRODUCT(_motor!$B$586:$B$665*(_motor!$G$586:$G$665=_motor!$G$600))+1)/2)</f>
        <v/>
      </c>
      <c r="H20" s="7" t="str">
        <f>IF(_motor!$B$600=0,"",SUMPRODUCT(_motor!$B$586:$B$665*(_motor!$H$586:$H$665&gt;_motor!$H$600))+(SUMPRODUCT(_motor!$B$586:$B$665*(_motor!$H$586:$H$665=_motor!$H$600))+1)/2)</f>
        <v/>
      </c>
      <c r="I20" s="2" t="str">
        <f>IF(_motor!$B$600=0,"",IF(AND(ABS(_motor!$G$600-_motor!$B$670)&lt;=_motor!$B$678+0.000000001,ABS(_motor!$H$600-_motor!$B$670)&lt;=_motor!$B$678+0.000000001),"5 · Pelotón (no concluyente)",IF(AND(_motor!$G$600&gt;=_motor!$B$670,_motor!$H$600&lt;_motor!$B$670),"1 · Entrada / determinante",IF(AND(_motor!$G$600&gt;=_motor!$B$670,_motor!$H$600&gt;=_motor!$B$670),"2 · Intermedia / de enlace",IF(AND(_motor!$G$600&lt;_motor!$B$670,_motor!$H$600&gt;=_motor!$B$670),"3 · Resultado","4 · Excluida / autónoma")))))</f>
        <v/>
      </c>
      <c r="J20" s="2" t="str">
        <f>IF(_motor!$B$600=0,"",IF(AND(ABS(_motor!$G$600-_motor!$B$670)&lt;=_motor!$B$678+0.000000001,ABS(_motor!$H$600-_motor!$B$670)&lt;=_motor!$B$678+0.000000001),"Reguladora",IF(AND(_motor!$G$600&gt;=_motor!$B$670,_motor!$H$600&lt;0.5*_motor!$B$670),"Determinante / entorno",IF(AND(_motor!$G$600&gt;=_motor!$B$670,_motor!$H$600&lt;_motor!$B$670),"Palanca secundaria",IF(AND(_motor!$G$600&gt;=_motor!$B$670,_motor!$H$600&gt;=_motor!$B$670),"Clave / de enlace",IF(AND(_motor!$H$600&gt;=_motor!$B$670,_motor!$G$600&gt;=0.5*_motor!$B$670),"Objetivo",IF(_motor!$H$600&gt;=_motor!$B$670,"Resultado","Autónoma")))))))</f>
        <v/>
      </c>
    </row>
    <row r="21" spans="1:10" x14ac:dyDescent="0.2">
      <c r="A21" s="6" t="str">
        <f>IF(_motor!$B$601=0,"",'02 · Variables'!$B$22)</f>
        <v/>
      </c>
      <c r="B21" s="2" t="str">
        <f>IF(_motor!$B$601=0,"",'02 · Variables'!$C$22)</f>
        <v/>
      </c>
      <c r="C21" s="9" t="str">
        <f>IF(_motor!$B$601=0,"",_motor!$G$601)</f>
        <v/>
      </c>
      <c r="D21" s="9" t="str">
        <f>IF(_motor!$B$601=0,"",_motor!$H$601)</f>
        <v/>
      </c>
      <c r="E21" s="8" t="str">
        <f>IF(OR(_motor!$B$601=0,_motor!$B$674=0),"",_motor!$G$601/_motor!$B$674)</f>
        <v/>
      </c>
      <c r="F21" s="8" t="str">
        <f>IF(OR(_motor!$B$601=0,_motor!$B$674=0),"",_motor!$H$601/_motor!$B$674)</f>
        <v/>
      </c>
      <c r="G21" s="7" t="str">
        <f>IF(_motor!$B$601=0,"",SUMPRODUCT(_motor!$B$586:$B$665*(_motor!$G$586:$G$665&gt;_motor!$G$601))+(SUMPRODUCT(_motor!$B$586:$B$665*(_motor!$G$586:$G$665=_motor!$G$601))+1)/2)</f>
        <v/>
      </c>
      <c r="H21" s="7" t="str">
        <f>IF(_motor!$B$601=0,"",SUMPRODUCT(_motor!$B$586:$B$665*(_motor!$H$586:$H$665&gt;_motor!$H$601))+(SUMPRODUCT(_motor!$B$586:$B$665*(_motor!$H$586:$H$665=_motor!$H$601))+1)/2)</f>
        <v/>
      </c>
      <c r="I21" s="2" t="str">
        <f>IF(_motor!$B$601=0,"",IF(AND(ABS(_motor!$G$601-_motor!$B$670)&lt;=_motor!$B$678+0.000000001,ABS(_motor!$H$601-_motor!$B$670)&lt;=_motor!$B$678+0.000000001),"5 · Pelotón (no concluyente)",IF(AND(_motor!$G$601&gt;=_motor!$B$670,_motor!$H$601&lt;_motor!$B$670),"1 · Entrada / determinante",IF(AND(_motor!$G$601&gt;=_motor!$B$670,_motor!$H$601&gt;=_motor!$B$670),"2 · Intermedia / de enlace",IF(AND(_motor!$G$601&lt;_motor!$B$670,_motor!$H$601&gt;=_motor!$B$670),"3 · Resultado","4 · Excluida / autónoma")))))</f>
        <v/>
      </c>
      <c r="J21" s="2" t="str">
        <f>IF(_motor!$B$601=0,"",IF(AND(ABS(_motor!$G$601-_motor!$B$670)&lt;=_motor!$B$678+0.000000001,ABS(_motor!$H$601-_motor!$B$670)&lt;=_motor!$B$678+0.000000001),"Reguladora",IF(AND(_motor!$G$601&gt;=_motor!$B$670,_motor!$H$601&lt;0.5*_motor!$B$670),"Determinante / entorno",IF(AND(_motor!$G$601&gt;=_motor!$B$670,_motor!$H$601&lt;_motor!$B$670),"Palanca secundaria",IF(AND(_motor!$G$601&gt;=_motor!$B$670,_motor!$H$601&gt;=_motor!$B$670),"Clave / de enlace",IF(AND(_motor!$H$601&gt;=_motor!$B$670,_motor!$G$601&gt;=0.5*_motor!$B$670),"Objetivo",IF(_motor!$H$601&gt;=_motor!$B$670,"Resultado","Autónoma")))))))</f>
        <v/>
      </c>
    </row>
    <row r="22" spans="1:10" x14ac:dyDescent="0.2">
      <c r="A22" s="6" t="str">
        <f>IF(_motor!$B$602=0,"",'02 · Variables'!$B$23)</f>
        <v/>
      </c>
      <c r="B22" s="2" t="str">
        <f>IF(_motor!$B$602=0,"",'02 · Variables'!$C$23)</f>
        <v/>
      </c>
      <c r="C22" s="9" t="str">
        <f>IF(_motor!$B$602=0,"",_motor!$G$602)</f>
        <v/>
      </c>
      <c r="D22" s="9" t="str">
        <f>IF(_motor!$B$602=0,"",_motor!$H$602)</f>
        <v/>
      </c>
      <c r="E22" s="8" t="str">
        <f>IF(OR(_motor!$B$602=0,_motor!$B$674=0),"",_motor!$G$602/_motor!$B$674)</f>
        <v/>
      </c>
      <c r="F22" s="8" t="str">
        <f>IF(OR(_motor!$B$602=0,_motor!$B$674=0),"",_motor!$H$602/_motor!$B$674)</f>
        <v/>
      </c>
      <c r="G22" s="7" t="str">
        <f>IF(_motor!$B$602=0,"",SUMPRODUCT(_motor!$B$586:$B$665*(_motor!$G$586:$G$665&gt;_motor!$G$602))+(SUMPRODUCT(_motor!$B$586:$B$665*(_motor!$G$586:$G$665=_motor!$G$602))+1)/2)</f>
        <v/>
      </c>
      <c r="H22" s="7" t="str">
        <f>IF(_motor!$B$602=0,"",SUMPRODUCT(_motor!$B$586:$B$665*(_motor!$H$586:$H$665&gt;_motor!$H$602))+(SUMPRODUCT(_motor!$B$586:$B$665*(_motor!$H$586:$H$665=_motor!$H$602))+1)/2)</f>
        <v/>
      </c>
      <c r="I22" s="2" t="str">
        <f>IF(_motor!$B$602=0,"",IF(AND(ABS(_motor!$G$602-_motor!$B$670)&lt;=_motor!$B$678+0.000000001,ABS(_motor!$H$602-_motor!$B$670)&lt;=_motor!$B$678+0.000000001),"5 · Pelotón (no concluyente)",IF(AND(_motor!$G$602&gt;=_motor!$B$670,_motor!$H$602&lt;_motor!$B$670),"1 · Entrada / determinante",IF(AND(_motor!$G$602&gt;=_motor!$B$670,_motor!$H$602&gt;=_motor!$B$670),"2 · Intermedia / de enlace",IF(AND(_motor!$G$602&lt;_motor!$B$670,_motor!$H$602&gt;=_motor!$B$670),"3 · Resultado","4 · Excluida / autónoma")))))</f>
        <v/>
      </c>
      <c r="J22" s="2" t="str">
        <f>IF(_motor!$B$602=0,"",IF(AND(ABS(_motor!$G$602-_motor!$B$670)&lt;=_motor!$B$678+0.000000001,ABS(_motor!$H$602-_motor!$B$670)&lt;=_motor!$B$678+0.000000001),"Reguladora",IF(AND(_motor!$G$602&gt;=_motor!$B$670,_motor!$H$602&lt;0.5*_motor!$B$670),"Determinante / entorno",IF(AND(_motor!$G$602&gt;=_motor!$B$670,_motor!$H$602&lt;_motor!$B$670),"Palanca secundaria",IF(AND(_motor!$G$602&gt;=_motor!$B$670,_motor!$H$602&gt;=_motor!$B$670),"Clave / de enlace",IF(AND(_motor!$H$602&gt;=_motor!$B$670,_motor!$G$602&gt;=0.5*_motor!$B$670),"Objetivo",IF(_motor!$H$602&gt;=_motor!$B$670,"Resultado","Autónoma")))))))</f>
        <v/>
      </c>
    </row>
    <row r="23" spans="1:10" x14ac:dyDescent="0.2">
      <c r="A23" s="6" t="str">
        <f>IF(_motor!$B$603=0,"",'02 · Variables'!$B$24)</f>
        <v/>
      </c>
      <c r="B23" s="2" t="str">
        <f>IF(_motor!$B$603=0,"",'02 · Variables'!$C$24)</f>
        <v/>
      </c>
      <c r="C23" s="9" t="str">
        <f>IF(_motor!$B$603=0,"",_motor!$G$603)</f>
        <v/>
      </c>
      <c r="D23" s="9" t="str">
        <f>IF(_motor!$B$603=0,"",_motor!$H$603)</f>
        <v/>
      </c>
      <c r="E23" s="8" t="str">
        <f>IF(OR(_motor!$B$603=0,_motor!$B$674=0),"",_motor!$G$603/_motor!$B$674)</f>
        <v/>
      </c>
      <c r="F23" s="8" t="str">
        <f>IF(OR(_motor!$B$603=0,_motor!$B$674=0),"",_motor!$H$603/_motor!$B$674)</f>
        <v/>
      </c>
      <c r="G23" s="7" t="str">
        <f>IF(_motor!$B$603=0,"",SUMPRODUCT(_motor!$B$586:$B$665*(_motor!$G$586:$G$665&gt;_motor!$G$603))+(SUMPRODUCT(_motor!$B$586:$B$665*(_motor!$G$586:$G$665=_motor!$G$603))+1)/2)</f>
        <v/>
      </c>
      <c r="H23" s="7" t="str">
        <f>IF(_motor!$B$603=0,"",SUMPRODUCT(_motor!$B$586:$B$665*(_motor!$H$586:$H$665&gt;_motor!$H$603))+(SUMPRODUCT(_motor!$B$586:$B$665*(_motor!$H$586:$H$665=_motor!$H$603))+1)/2)</f>
        <v/>
      </c>
      <c r="I23" s="2" t="str">
        <f>IF(_motor!$B$603=0,"",IF(AND(ABS(_motor!$G$603-_motor!$B$670)&lt;=_motor!$B$678+0.000000001,ABS(_motor!$H$603-_motor!$B$670)&lt;=_motor!$B$678+0.000000001),"5 · Pelotón (no concluyente)",IF(AND(_motor!$G$603&gt;=_motor!$B$670,_motor!$H$603&lt;_motor!$B$670),"1 · Entrada / determinante",IF(AND(_motor!$G$603&gt;=_motor!$B$670,_motor!$H$603&gt;=_motor!$B$670),"2 · Intermedia / de enlace",IF(AND(_motor!$G$603&lt;_motor!$B$670,_motor!$H$603&gt;=_motor!$B$670),"3 · Resultado","4 · Excluida / autónoma")))))</f>
        <v/>
      </c>
      <c r="J23" s="2" t="str">
        <f>IF(_motor!$B$603=0,"",IF(AND(ABS(_motor!$G$603-_motor!$B$670)&lt;=_motor!$B$678+0.000000001,ABS(_motor!$H$603-_motor!$B$670)&lt;=_motor!$B$678+0.000000001),"Reguladora",IF(AND(_motor!$G$603&gt;=_motor!$B$670,_motor!$H$603&lt;0.5*_motor!$B$670),"Determinante / entorno",IF(AND(_motor!$G$603&gt;=_motor!$B$670,_motor!$H$603&lt;_motor!$B$670),"Palanca secundaria",IF(AND(_motor!$G$603&gt;=_motor!$B$670,_motor!$H$603&gt;=_motor!$B$670),"Clave / de enlace",IF(AND(_motor!$H$603&gt;=_motor!$B$670,_motor!$G$603&gt;=0.5*_motor!$B$670),"Objetivo",IF(_motor!$H$603&gt;=_motor!$B$670,"Resultado","Autónoma")))))))</f>
        <v/>
      </c>
    </row>
    <row r="24" spans="1:10" x14ac:dyDescent="0.2">
      <c r="A24" s="6" t="str">
        <f>IF(_motor!$B$604=0,"",'02 · Variables'!$B$25)</f>
        <v/>
      </c>
      <c r="B24" s="2" t="str">
        <f>IF(_motor!$B$604=0,"",'02 · Variables'!$C$25)</f>
        <v/>
      </c>
      <c r="C24" s="9" t="str">
        <f>IF(_motor!$B$604=0,"",_motor!$G$604)</f>
        <v/>
      </c>
      <c r="D24" s="9" t="str">
        <f>IF(_motor!$B$604=0,"",_motor!$H$604)</f>
        <v/>
      </c>
      <c r="E24" s="8" t="str">
        <f>IF(OR(_motor!$B$604=0,_motor!$B$674=0),"",_motor!$G$604/_motor!$B$674)</f>
        <v/>
      </c>
      <c r="F24" s="8" t="str">
        <f>IF(OR(_motor!$B$604=0,_motor!$B$674=0),"",_motor!$H$604/_motor!$B$674)</f>
        <v/>
      </c>
      <c r="G24" s="7" t="str">
        <f>IF(_motor!$B$604=0,"",SUMPRODUCT(_motor!$B$586:$B$665*(_motor!$G$586:$G$665&gt;_motor!$G$604))+(SUMPRODUCT(_motor!$B$586:$B$665*(_motor!$G$586:$G$665=_motor!$G$604))+1)/2)</f>
        <v/>
      </c>
      <c r="H24" s="7" t="str">
        <f>IF(_motor!$B$604=0,"",SUMPRODUCT(_motor!$B$586:$B$665*(_motor!$H$586:$H$665&gt;_motor!$H$604))+(SUMPRODUCT(_motor!$B$586:$B$665*(_motor!$H$586:$H$665=_motor!$H$604))+1)/2)</f>
        <v/>
      </c>
      <c r="I24" s="2" t="str">
        <f>IF(_motor!$B$604=0,"",IF(AND(ABS(_motor!$G$604-_motor!$B$670)&lt;=_motor!$B$678+0.000000001,ABS(_motor!$H$604-_motor!$B$670)&lt;=_motor!$B$678+0.000000001),"5 · Pelotón (no concluyente)",IF(AND(_motor!$G$604&gt;=_motor!$B$670,_motor!$H$604&lt;_motor!$B$670),"1 · Entrada / determinante",IF(AND(_motor!$G$604&gt;=_motor!$B$670,_motor!$H$604&gt;=_motor!$B$670),"2 · Intermedia / de enlace",IF(AND(_motor!$G$604&lt;_motor!$B$670,_motor!$H$604&gt;=_motor!$B$670),"3 · Resultado","4 · Excluida / autónoma")))))</f>
        <v/>
      </c>
      <c r="J24" s="2" t="str">
        <f>IF(_motor!$B$604=0,"",IF(AND(ABS(_motor!$G$604-_motor!$B$670)&lt;=_motor!$B$678+0.000000001,ABS(_motor!$H$604-_motor!$B$670)&lt;=_motor!$B$678+0.000000001),"Reguladora",IF(AND(_motor!$G$604&gt;=_motor!$B$670,_motor!$H$604&lt;0.5*_motor!$B$670),"Determinante / entorno",IF(AND(_motor!$G$604&gt;=_motor!$B$670,_motor!$H$604&lt;_motor!$B$670),"Palanca secundaria",IF(AND(_motor!$G$604&gt;=_motor!$B$670,_motor!$H$604&gt;=_motor!$B$670),"Clave / de enlace",IF(AND(_motor!$H$604&gt;=_motor!$B$670,_motor!$G$604&gt;=0.5*_motor!$B$670),"Objetivo",IF(_motor!$H$604&gt;=_motor!$B$670,"Resultado","Autónoma")))))))</f>
        <v/>
      </c>
    </row>
    <row r="25" spans="1:10" x14ac:dyDescent="0.2">
      <c r="A25" s="6" t="str">
        <f>IF(_motor!$B$605=0,"",'02 · Variables'!$B$26)</f>
        <v/>
      </c>
      <c r="B25" s="2" t="str">
        <f>IF(_motor!$B$605=0,"",'02 · Variables'!$C$26)</f>
        <v/>
      </c>
      <c r="C25" s="9" t="str">
        <f>IF(_motor!$B$605=0,"",_motor!$G$605)</f>
        <v/>
      </c>
      <c r="D25" s="9" t="str">
        <f>IF(_motor!$B$605=0,"",_motor!$H$605)</f>
        <v/>
      </c>
      <c r="E25" s="8" t="str">
        <f>IF(OR(_motor!$B$605=0,_motor!$B$674=0),"",_motor!$G$605/_motor!$B$674)</f>
        <v/>
      </c>
      <c r="F25" s="8" t="str">
        <f>IF(OR(_motor!$B$605=0,_motor!$B$674=0),"",_motor!$H$605/_motor!$B$674)</f>
        <v/>
      </c>
      <c r="G25" s="7" t="str">
        <f>IF(_motor!$B$605=0,"",SUMPRODUCT(_motor!$B$586:$B$665*(_motor!$G$586:$G$665&gt;_motor!$G$605))+(SUMPRODUCT(_motor!$B$586:$B$665*(_motor!$G$586:$G$665=_motor!$G$605))+1)/2)</f>
        <v/>
      </c>
      <c r="H25" s="7" t="str">
        <f>IF(_motor!$B$605=0,"",SUMPRODUCT(_motor!$B$586:$B$665*(_motor!$H$586:$H$665&gt;_motor!$H$605))+(SUMPRODUCT(_motor!$B$586:$B$665*(_motor!$H$586:$H$665=_motor!$H$605))+1)/2)</f>
        <v/>
      </c>
      <c r="I25" s="2" t="str">
        <f>IF(_motor!$B$605=0,"",IF(AND(ABS(_motor!$G$605-_motor!$B$670)&lt;=_motor!$B$678+0.000000001,ABS(_motor!$H$605-_motor!$B$670)&lt;=_motor!$B$678+0.000000001),"5 · Pelotón (no concluyente)",IF(AND(_motor!$G$605&gt;=_motor!$B$670,_motor!$H$605&lt;_motor!$B$670),"1 · Entrada / determinante",IF(AND(_motor!$G$605&gt;=_motor!$B$670,_motor!$H$605&gt;=_motor!$B$670),"2 · Intermedia / de enlace",IF(AND(_motor!$G$605&lt;_motor!$B$670,_motor!$H$605&gt;=_motor!$B$670),"3 · Resultado","4 · Excluida / autónoma")))))</f>
        <v/>
      </c>
      <c r="J25" s="2" t="str">
        <f>IF(_motor!$B$605=0,"",IF(AND(ABS(_motor!$G$605-_motor!$B$670)&lt;=_motor!$B$678+0.000000001,ABS(_motor!$H$605-_motor!$B$670)&lt;=_motor!$B$678+0.000000001),"Reguladora",IF(AND(_motor!$G$605&gt;=_motor!$B$670,_motor!$H$605&lt;0.5*_motor!$B$670),"Determinante / entorno",IF(AND(_motor!$G$605&gt;=_motor!$B$670,_motor!$H$605&lt;_motor!$B$670),"Palanca secundaria",IF(AND(_motor!$G$605&gt;=_motor!$B$670,_motor!$H$605&gt;=_motor!$B$670),"Clave / de enlace",IF(AND(_motor!$H$605&gt;=_motor!$B$670,_motor!$G$605&gt;=0.5*_motor!$B$670),"Objetivo",IF(_motor!$H$605&gt;=_motor!$B$670,"Resultado","Autónoma")))))))</f>
        <v/>
      </c>
    </row>
    <row r="26" spans="1:10" x14ac:dyDescent="0.2">
      <c r="A26" s="6" t="str">
        <f>IF(_motor!$B$606=0,"",'02 · Variables'!$B$27)</f>
        <v/>
      </c>
      <c r="B26" s="2" t="str">
        <f>IF(_motor!$B$606=0,"",'02 · Variables'!$C$27)</f>
        <v/>
      </c>
      <c r="C26" s="9" t="str">
        <f>IF(_motor!$B$606=0,"",_motor!$G$606)</f>
        <v/>
      </c>
      <c r="D26" s="9" t="str">
        <f>IF(_motor!$B$606=0,"",_motor!$H$606)</f>
        <v/>
      </c>
      <c r="E26" s="8" t="str">
        <f>IF(OR(_motor!$B$606=0,_motor!$B$674=0),"",_motor!$G$606/_motor!$B$674)</f>
        <v/>
      </c>
      <c r="F26" s="8" t="str">
        <f>IF(OR(_motor!$B$606=0,_motor!$B$674=0),"",_motor!$H$606/_motor!$B$674)</f>
        <v/>
      </c>
      <c r="G26" s="7" t="str">
        <f>IF(_motor!$B$606=0,"",SUMPRODUCT(_motor!$B$586:$B$665*(_motor!$G$586:$G$665&gt;_motor!$G$606))+(SUMPRODUCT(_motor!$B$586:$B$665*(_motor!$G$586:$G$665=_motor!$G$606))+1)/2)</f>
        <v/>
      </c>
      <c r="H26" s="7" t="str">
        <f>IF(_motor!$B$606=0,"",SUMPRODUCT(_motor!$B$586:$B$665*(_motor!$H$586:$H$665&gt;_motor!$H$606))+(SUMPRODUCT(_motor!$B$586:$B$665*(_motor!$H$586:$H$665=_motor!$H$606))+1)/2)</f>
        <v/>
      </c>
      <c r="I26" s="2" t="str">
        <f>IF(_motor!$B$606=0,"",IF(AND(ABS(_motor!$G$606-_motor!$B$670)&lt;=_motor!$B$678+0.000000001,ABS(_motor!$H$606-_motor!$B$670)&lt;=_motor!$B$678+0.000000001),"5 · Pelotón (no concluyente)",IF(AND(_motor!$G$606&gt;=_motor!$B$670,_motor!$H$606&lt;_motor!$B$670),"1 · Entrada / determinante",IF(AND(_motor!$G$606&gt;=_motor!$B$670,_motor!$H$606&gt;=_motor!$B$670),"2 · Intermedia / de enlace",IF(AND(_motor!$G$606&lt;_motor!$B$670,_motor!$H$606&gt;=_motor!$B$670),"3 · Resultado","4 · Excluida / autónoma")))))</f>
        <v/>
      </c>
      <c r="J26" s="2" t="str">
        <f>IF(_motor!$B$606=0,"",IF(AND(ABS(_motor!$G$606-_motor!$B$670)&lt;=_motor!$B$678+0.000000001,ABS(_motor!$H$606-_motor!$B$670)&lt;=_motor!$B$678+0.000000001),"Reguladora",IF(AND(_motor!$G$606&gt;=_motor!$B$670,_motor!$H$606&lt;0.5*_motor!$B$670),"Determinante / entorno",IF(AND(_motor!$G$606&gt;=_motor!$B$670,_motor!$H$606&lt;_motor!$B$670),"Palanca secundaria",IF(AND(_motor!$G$606&gt;=_motor!$B$670,_motor!$H$606&gt;=_motor!$B$670),"Clave / de enlace",IF(AND(_motor!$H$606&gt;=_motor!$B$670,_motor!$G$606&gt;=0.5*_motor!$B$670),"Objetivo",IF(_motor!$H$606&gt;=_motor!$B$670,"Resultado","Autónoma")))))))</f>
        <v/>
      </c>
    </row>
    <row r="27" spans="1:10" x14ac:dyDescent="0.2">
      <c r="A27" s="6" t="str">
        <f>IF(_motor!$B$607=0,"",'02 · Variables'!$B$28)</f>
        <v/>
      </c>
      <c r="B27" s="2" t="str">
        <f>IF(_motor!$B$607=0,"",'02 · Variables'!$C$28)</f>
        <v/>
      </c>
      <c r="C27" s="9" t="str">
        <f>IF(_motor!$B$607=0,"",_motor!$G$607)</f>
        <v/>
      </c>
      <c r="D27" s="9" t="str">
        <f>IF(_motor!$B$607=0,"",_motor!$H$607)</f>
        <v/>
      </c>
      <c r="E27" s="8" t="str">
        <f>IF(OR(_motor!$B$607=0,_motor!$B$674=0),"",_motor!$G$607/_motor!$B$674)</f>
        <v/>
      </c>
      <c r="F27" s="8" t="str">
        <f>IF(OR(_motor!$B$607=0,_motor!$B$674=0),"",_motor!$H$607/_motor!$B$674)</f>
        <v/>
      </c>
      <c r="G27" s="7" t="str">
        <f>IF(_motor!$B$607=0,"",SUMPRODUCT(_motor!$B$586:$B$665*(_motor!$G$586:$G$665&gt;_motor!$G$607))+(SUMPRODUCT(_motor!$B$586:$B$665*(_motor!$G$586:$G$665=_motor!$G$607))+1)/2)</f>
        <v/>
      </c>
      <c r="H27" s="7" t="str">
        <f>IF(_motor!$B$607=0,"",SUMPRODUCT(_motor!$B$586:$B$665*(_motor!$H$586:$H$665&gt;_motor!$H$607))+(SUMPRODUCT(_motor!$B$586:$B$665*(_motor!$H$586:$H$665=_motor!$H$607))+1)/2)</f>
        <v/>
      </c>
      <c r="I27" s="2" t="str">
        <f>IF(_motor!$B$607=0,"",IF(AND(ABS(_motor!$G$607-_motor!$B$670)&lt;=_motor!$B$678+0.000000001,ABS(_motor!$H$607-_motor!$B$670)&lt;=_motor!$B$678+0.000000001),"5 · Pelotón (no concluyente)",IF(AND(_motor!$G$607&gt;=_motor!$B$670,_motor!$H$607&lt;_motor!$B$670),"1 · Entrada / determinante",IF(AND(_motor!$G$607&gt;=_motor!$B$670,_motor!$H$607&gt;=_motor!$B$670),"2 · Intermedia / de enlace",IF(AND(_motor!$G$607&lt;_motor!$B$670,_motor!$H$607&gt;=_motor!$B$670),"3 · Resultado","4 · Excluida / autónoma")))))</f>
        <v/>
      </c>
      <c r="J27" s="2" t="str">
        <f>IF(_motor!$B$607=0,"",IF(AND(ABS(_motor!$G$607-_motor!$B$670)&lt;=_motor!$B$678+0.000000001,ABS(_motor!$H$607-_motor!$B$670)&lt;=_motor!$B$678+0.000000001),"Reguladora",IF(AND(_motor!$G$607&gt;=_motor!$B$670,_motor!$H$607&lt;0.5*_motor!$B$670),"Determinante / entorno",IF(AND(_motor!$G$607&gt;=_motor!$B$670,_motor!$H$607&lt;_motor!$B$670),"Palanca secundaria",IF(AND(_motor!$G$607&gt;=_motor!$B$670,_motor!$H$607&gt;=_motor!$B$670),"Clave / de enlace",IF(AND(_motor!$H$607&gt;=_motor!$B$670,_motor!$G$607&gt;=0.5*_motor!$B$670),"Objetivo",IF(_motor!$H$607&gt;=_motor!$B$670,"Resultado","Autónoma")))))))</f>
        <v/>
      </c>
    </row>
    <row r="28" spans="1:10" x14ac:dyDescent="0.2">
      <c r="A28" s="6" t="str">
        <f>IF(_motor!$B$608=0,"",'02 · Variables'!$B$29)</f>
        <v/>
      </c>
      <c r="B28" s="2" t="str">
        <f>IF(_motor!$B$608=0,"",'02 · Variables'!$C$29)</f>
        <v/>
      </c>
      <c r="C28" s="9" t="str">
        <f>IF(_motor!$B$608=0,"",_motor!$G$608)</f>
        <v/>
      </c>
      <c r="D28" s="9" t="str">
        <f>IF(_motor!$B$608=0,"",_motor!$H$608)</f>
        <v/>
      </c>
      <c r="E28" s="8" t="str">
        <f>IF(OR(_motor!$B$608=0,_motor!$B$674=0),"",_motor!$G$608/_motor!$B$674)</f>
        <v/>
      </c>
      <c r="F28" s="8" t="str">
        <f>IF(OR(_motor!$B$608=0,_motor!$B$674=0),"",_motor!$H$608/_motor!$B$674)</f>
        <v/>
      </c>
      <c r="G28" s="7" t="str">
        <f>IF(_motor!$B$608=0,"",SUMPRODUCT(_motor!$B$586:$B$665*(_motor!$G$586:$G$665&gt;_motor!$G$608))+(SUMPRODUCT(_motor!$B$586:$B$665*(_motor!$G$586:$G$665=_motor!$G$608))+1)/2)</f>
        <v/>
      </c>
      <c r="H28" s="7" t="str">
        <f>IF(_motor!$B$608=0,"",SUMPRODUCT(_motor!$B$586:$B$665*(_motor!$H$586:$H$665&gt;_motor!$H$608))+(SUMPRODUCT(_motor!$B$586:$B$665*(_motor!$H$586:$H$665=_motor!$H$608))+1)/2)</f>
        <v/>
      </c>
      <c r="I28" s="2" t="str">
        <f>IF(_motor!$B$608=0,"",IF(AND(ABS(_motor!$G$608-_motor!$B$670)&lt;=_motor!$B$678+0.000000001,ABS(_motor!$H$608-_motor!$B$670)&lt;=_motor!$B$678+0.000000001),"5 · Pelotón (no concluyente)",IF(AND(_motor!$G$608&gt;=_motor!$B$670,_motor!$H$608&lt;_motor!$B$670),"1 · Entrada / determinante",IF(AND(_motor!$G$608&gt;=_motor!$B$670,_motor!$H$608&gt;=_motor!$B$670),"2 · Intermedia / de enlace",IF(AND(_motor!$G$608&lt;_motor!$B$670,_motor!$H$608&gt;=_motor!$B$670),"3 · Resultado","4 · Excluida / autónoma")))))</f>
        <v/>
      </c>
      <c r="J28" s="2" t="str">
        <f>IF(_motor!$B$608=0,"",IF(AND(ABS(_motor!$G$608-_motor!$B$670)&lt;=_motor!$B$678+0.000000001,ABS(_motor!$H$608-_motor!$B$670)&lt;=_motor!$B$678+0.000000001),"Reguladora",IF(AND(_motor!$G$608&gt;=_motor!$B$670,_motor!$H$608&lt;0.5*_motor!$B$670),"Determinante / entorno",IF(AND(_motor!$G$608&gt;=_motor!$B$670,_motor!$H$608&lt;_motor!$B$670),"Palanca secundaria",IF(AND(_motor!$G$608&gt;=_motor!$B$670,_motor!$H$608&gt;=_motor!$B$670),"Clave / de enlace",IF(AND(_motor!$H$608&gt;=_motor!$B$670,_motor!$G$608&gt;=0.5*_motor!$B$670),"Objetivo",IF(_motor!$H$608&gt;=_motor!$B$670,"Resultado","Autónoma")))))))</f>
        <v/>
      </c>
    </row>
    <row r="29" spans="1:10" x14ac:dyDescent="0.2">
      <c r="A29" s="6" t="str">
        <f>IF(_motor!$B$609=0,"",'02 · Variables'!$B$30)</f>
        <v/>
      </c>
      <c r="B29" s="2" t="str">
        <f>IF(_motor!$B$609=0,"",'02 · Variables'!$C$30)</f>
        <v/>
      </c>
      <c r="C29" s="9" t="str">
        <f>IF(_motor!$B$609=0,"",_motor!$G$609)</f>
        <v/>
      </c>
      <c r="D29" s="9" t="str">
        <f>IF(_motor!$B$609=0,"",_motor!$H$609)</f>
        <v/>
      </c>
      <c r="E29" s="8" t="str">
        <f>IF(OR(_motor!$B$609=0,_motor!$B$674=0),"",_motor!$G$609/_motor!$B$674)</f>
        <v/>
      </c>
      <c r="F29" s="8" t="str">
        <f>IF(OR(_motor!$B$609=0,_motor!$B$674=0),"",_motor!$H$609/_motor!$B$674)</f>
        <v/>
      </c>
      <c r="G29" s="7" t="str">
        <f>IF(_motor!$B$609=0,"",SUMPRODUCT(_motor!$B$586:$B$665*(_motor!$G$586:$G$665&gt;_motor!$G$609))+(SUMPRODUCT(_motor!$B$586:$B$665*(_motor!$G$586:$G$665=_motor!$G$609))+1)/2)</f>
        <v/>
      </c>
      <c r="H29" s="7" t="str">
        <f>IF(_motor!$B$609=0,"",SUMPRODUCT(_motor!$B$586:$B$665*(_motor!$H$586:$H$665&gt;_motor!$H$609))+(SUMPRODUCT(_motor!$B$586:$B$665*(_motor!$H$586:$H$665=_motor!$H$609))+1)/2)</f>
        <v/>
      </c>
      <c r="I29" s="2" t="str">
        <f>IF(_motor!$B$609=0,"",IF(AND(ABS(_motor!$G$609-_motor!$B$670)&lt;=_motor!$B$678+0.000000001,ABS(_motor!$H$609-_motor!$B$670)&lt;=_motor!$B$678+0.000000001),"5 · Pelotón (no concluyente)",IF(AND(_motor!$G$609&gt;=_motor!$B$670,_motor!$H$609&lt;_motor!$B$670),"1 · Entrada / determinante",IF(AND(_motor!$G$609&gt;=_motor!$B$670,_motor!$H$609&gt;=_motor!$B$670),"2 · Intermedia / de enlace",IF(AND(_motor!$G$609&lt;_motor!$B$670,_motor!$H$609&gt;=_motor!$B$670),"3 · Resultado","4 · Excluida / autónoma")))))</f>
        <v/>
      </c>
      <c r="J29" s="2" t="str">
        <f>IF(_motor!$B$609=0,"",IF(AND(ABS(_motor!$G$609-_motor!$B$670)&lt;=_motor!$B$678+0.000000001,ABS(_motor!$H$609-_motor!$B$670)&lt;=_motor!$B$678+0.000000001),"Reguladora",IF(AND(_motor!$G$609&gt;=_motor!$B$670,_motor!$H$609&lt;0.5*_motor!$B$670),"Determinante / entorno",IF(AND(_motor!$G$609&gt;=_motor!$B$670,_motor!$H$609&lt;_motor!$B$670),"Palanca secundaria",IF(AND(_motor!$G$609&gt;=_motor!$B$670,_motor!$H$609&gt;=_motor!$B$670),"Clave / de enlace",IF(AND(_motor!$H$609&gt;=_motor!$B$670,_motor!$G$609&gt;=0.5*_motor!$B$670),"Objetivo",IF(_motor!$H$609&gt;=_motor!$B$670,"Resultado","Autónoma")))))))</f>
        <v/>
      </c>
    </row>
    <row r="30" spans="1:10" x14ac:dyDescent="0.2">
      <c r="A30" s="6" t="str">
        <f>IF(_motor!$B$610=0,"",'02 · Variables'!$B$31)</f>
        <v/>
      </c>
      <c r="B30" s="2" t="str">
        <f>IF(_motor!$B$610=0,"",'02 · Variables'!$C$31)</f>
        <v/>
      </c>
      <c r="C30" s="9" t="str">
        <f>IF(_motor!$B$610=0,"",_motor!$G$610)</f>
        <v/>
      </c>
      <c r="D30" s="9" t="str">
        <f>IF(_motor!$B$610=0,"",_motor!$H$610)</f>
        <v/>
      </c>
      <c r="E30" s="8" t="str">
        <f>IF(OR(_motor!$B$610=0,_motor!$B$674=0),"",_motor!$G$610/_motor!$B$674)</f>
        <v/>
      </c>
      <c r="F30" s="8" t="str">
        <f>IF(OR(_motor!$B$610=0,_motor!$B$674=0),"",_motor!$H$610/_motor!$B$674)</f>
        <v/>
      </c>
      <c r="G30" s="7" t="str">
        <f>IF(_motor!$B$610=0,"",SUMPRODUCT(_motor!$B$586:$B$665*(_motor!$G$586:$G$665&gt;_motor!$G$610))+(SUMPRODUCT(_motor!$B$586:$B$665*(_motor!$G$586:$G$665=_motor!$G$610))+1)/2)</f>
        <v/>
      </c>
      <c r="H30" s="7" t="str">
        <f>IF(_motor!$B$610=0,"",SUMPRODUCT(_motor!$B$586:$B$665*(_motor!$H$586:$H$665&gt;_motor!$H$610))+(SUMPRODUCT(_motor!$B$586:$B$665*(_motor!$H$586:$H$665=_motor!$H$610))+1)/2)</f>
        <v/>
      </c>
      <c r="I30" s="2" t="str">
        <f>IF(_motor!$B$610=0,"",IF(AND(ABS(_motor!$G$610-_motor!$B$670)&lt;=_motor!$B$678+0.000000001,ABS(_motor!$H$610-_motor!$B$670)&lt;=_motor!$B$678+0.000000001),"5 · Pelotón (no concluyente)",IF(AND(_motor!$G$610&gt;=_motor!$B$670,_motor!$H$610&lt;_motor!$B$670),"1 · Entrada / determinante",IF(AND(_motor!$G$610&gt;=_motor!$B$670,_motor!$H$610&gt;=_motor!$B$670),"2 · Intermedia / de enlace",IF(AND(_motor!$G$610&lt;_motor!$B$670,_motor!$H$610&gt;=_motor!$B$670),"3 · Resultado","4 · Excluida / autónoma")))))</f>
        <v/>
      </c>
      <c r="J30" s="2" t="str">
        <f>IF(_motor!$B$610=0,"",IF(AND(ABS(_motor!$G$610-_motor!$B$670)&lt;=_motor!$B$678+0.000000001,ABS(_motor!$H$610-_motor!$B$670)&lt;=_motor!$B$678+0.000000001),"Reguladora",IF(AND(_motor!$G$610&gt;=_motor!$B$670,_motor!$H$610&lt;0.5*_motor!$B$670),"Determinante / entorno",IF(AND(_motor!$G$610&gt;=_motor!$B$670,_motor!$H$610&lt;_motor!$B$670),"Palanca secundaria",IF(AND(_motor!$G$610&gt;=_motor!$B$670,_motor!$H$610&gt;=_motor!$B$670),"Clave / de enlace",IF(AND(_motor!$H$610&gt;=_motor!$B$670,_motor!$G$610&gt;=0.5*_motor!$B$670),"Objetivo",IF(_motor!$H$610&gt;=_motor!$B$670,"Resultado","Autónoma")))))))</f>
        <v/>
      </c>
    </row>
    <row r="31" spans="1:10" x14ac:dyDescent="0.2">
      <c r="A31" s="6" t="str">
        <f>IF(_motor!$B$611=0,"",'02 · Variables'!$B$32)</f>
        <v/>
      </c>
      <c r="B31" s="2" t="str">
        <f>IF(_motor!$B$611=0,"",'02 · Variables'!$C$32)</f>
        <v/>
      </c>
      <c r="C31" s="9" t="str">
        <f>IF(_motor!$B$611=0,"",_motor!$G$611)</f>
        <v/>
      </c>
      <c r="D31" s="9" t="str">
        <f>IF(_motor!$B$611=0,"",_motor!$H$611)</f>
        <v/>
      </c>
      <c r="E31" s="8" t="str">
        <f>IF(OR(_motor!$B$611=0,_motor!$B$674=0),"",_motor!$G$611/_motor!$B$674)</f>
        <v/>
      </c>
      <c r="F31" s="8" t="str">
        <f>IF(OR(_motor!$B$611=0,_motor!$B$674=0),"",_motor!$H$611/_motor!$B$674)</f>
        <v/>
      </c>
      <c r="G31" s="7" t="str">
        <f>IF(_motor!$B$611=0,"",SUMPRODUCT(_motor!$B$586:$B$665*(_motor!$G$586:$G$665&gt;_motor!$G$611))+(SUMPRODUCT(_motor!$B$586:$B$665*(_motor!$G$586:$G$665=_motor!$G$611))+1)/2)</f>
        <v/>
      </c>
      <c r="H31" s="7" t="str">
        <f>IF(_motor!$B$611=0,"",SUMPRODUCT(_motor!$B$586:$B$665*(_motor!$H$586:$H$665&gt;_motor!$H$611))+(SUMPRODUCT(_motor!$B$586:$B$665*(_motor!$H$586:$H$665=_motor!$H$611))+1)/2)</f>
        <v/>
      </c>
      <c r="I31" s="2" t="str">
        <f>IF(_motor!$B$611=0,"",IF(AND(ABS(_motor!$G$611-_motor!$B$670)&lt;=_motor!$B$678+0.000000001,ABS(_motor!$H$611-_motor!$B$670)&lt;=_motor!$B$678+0.000000001),"5 · Pelotón (no concluyente)",IF(AND(_motor!$G$611&gt;=_motor!$B$670,_motor!$H$611&lt;_motor!$B$670),"1 · Entrada / determinante",IF(AND(_motor!$G$611&gt;=_motor!$B$670,_motor!$H$611&gt;=_motor!$B$670),"2 · Intermedia / de enlace",IF(AND(_motor!$G$611&lt;_motor!$B$670,_motor!$H$611&gt;=_motor!$B$670),"3 · Resultado","4 · Excluida / autónoma")))))</f>
        <v/>
      </c>
      <c r="J31" s="2" t="str">
        <f>IF(_motor!$B$611=0,"",IF(AND(ABS(_motor!$G$611-_motor!$B$670)&lt;=_motor!$B$678+0.000000001,ABS(_motor!$H$611-_motor!$B$670)&lt;=_motor!$B$678+0.000000001),"Reguladora",IF(AND(_motor!$G$611&gt;=_motor!$B$670,_motor!$H$611&lt;0.5*_motor!$B$670),"Determinante / entorno",IF(AND(_motor!$G$611&gt;=_motor!$B$670,_motor!$H$611&lt;_motor!$B$670),"Palanca secundaria",IF(AND(_motor!$G$611&gt;=_motor!$B$670,_motor!$H$611&gt;=_motor!$B$670),"Clave / de enlace",IF(AND(_motor!$H$611&gt;=_motor!$B$670,_motor!$G$611&gt;=0.5*_motor!$B$670),"Objetivo",IF(_motor!$H$611&gt;=_motor!$B$670,"Resultado","Autónoma")))))))</f>
        <v/>
      </c>
    </row>
    <row r="32" spans="1:10" x14ac:dyDescent="0.2">
      <c r="A32" s="6" t="str">
        <f>IF(_motor!$B$612=0,"",'02 · Variables'!$B$33)</f>
        <v/>
      </c>
      <c r="B32" s="2" t="str">
        <f>IF(_motor!$B$612=0,"",'02 · Variables'!$C$33)</f>
        <v/>
      </c>
      <c r="C32" s="9" t="str">
        <f>IF(_motor!$B$612=0,"",_motor!$G$612)</f>
        <v/>
      </c>
      <c r="D32" s="9" t="str">
        <f>IF(_motor!$B$612=0,"",_motor!$H$612)</f>
        <v/>
      </c>
      <c r="E32" s="8" t="str">
        <f>IF(OR(_motor!$B$612=0,_motor!$B$674=0),"",_motor!$G$612/_motor!$B$674)</f>
        <v/>
      </c>
      <c r="F32" s="8" t="str">
        <f>IF(OR(_motor!$B$612=0,_motor!$B$674=0),"",_motor!$H$612/_motor!$B$674)</f>
        <v/>
      </c>
      <c r="G32" s="7" t="str">
        <f>IF(_motor!$B$612=0,"",SUMPRODUCT(_motor!$B$586:$B$665*(_motor!$G$586:$G$665&gt;_motor!$G$612))+(SUMPRODUCT(_motor!$B$586:$B$665*(_motor!$G$586:$G$665=_motor!$G$612))+1)/2)</f>
        <v/>
      </c>
      <c r="H32" s="7" t="str">
        <f>IF(_motor!$B$612=0,"",SUMPRODUCT(_motor!$B$586:$B$665*(_motor!$H$586:$H$665&gt;_motor!$H$612))+(SUMPRODUCT(_motor!$B$586:$B$665*(_motor!$H$586:$H$665=_motor!$H$612))+1)/2)</f>
        <v/>
      </c>
      <c r="I32" s="2" t="str">
        <f>IF(_motor!$B$612=0,"",IF(AND(ABS(_motor!$G$612-_motor!$B$670)&lt;=_motor!$B$678+0.000000001,ABS(_motor!$H$612-_motor!$B$670)&lt;=_motor!$B$678+0.000000001),"5 · Pelotón (no concluyente)",IF(AND(_motor!$G$612&gt;=_motor!$B$670,_motor!$H$612&lt;_motor!$B$670),"1 · Entrada / determinante",IF(AND(_motor!$G$612&gt;=_motor!$B$670,_motor!$H$612&gt;=_motor!$B$670),"2 · Intermedia / de enlace",IF(AND(_motor!$G$612&lt;_motor!$B$670,_motor!$H$612&gt;=_motor!$B$670),"3 · Resultado","4 · Excluida / autónoma")))))</f>
        <v/>
      </c>
      <c r="J32" s="2" t="str">
        <f>IF(_motor!$B$612=0,"",IF(AND(ABS(_motor!$G$612-_motor!$B$670)&lt;=_motor!$B$678+0.000000001,ABS(_motor!$H$612-_motor!$B$670)&lt;=_motor!$B$678+0.000000001),"Reguladora",IF(AND(_motor!$G$612&gt;=_motor!$B$670,_motor!$H$612&lt;0.5*_motor!$B$670),"Determinante / entorno",IF(AND(_motor!$G$612&gt;=_motor!$B$670,_motor!$H$612&lt;_motor!$B$670),"Palanca secundaria",IF(AND(_motor!$G$612&gt;=_motor!$B$670,_motor!$H$612&gt;=_motor!$B$670),"Clave / de enlace",IF(AND(_motor!$H$612&gt;=_motor!$B$670,_motor!$G$612&gt;=0.5*_motor!$B$670),"Objetivo",IF(_motor!$H$612&gt;=_motor!$B$670,"Resultado","Autónoma")))))))</f>
        <v/>
      </c>
    </row>
    <row r="33" spans="1:10" x14ac:dyDescent="0.2">
      <c r="A33" s="6" t="str">
        <f>IF(_motor!$B$613=0,"",'02 · Variables'!$B$34)</f>
        <v/>
      </c>
      <c r="B33" s="2" t="str">
        <f>IF(_motor!$B$613=0,"",'02 · Variables'!$C$34)</f>
        <v/>
      </c>
      <c r="C33" s="9" t="str">
        <f>IF(_motor!$B$613=0,"",_motor!$G$613)</f>
        <v/>
      </c>
      <c r="D33" s="9" t="str">
        <f>IF(_motor!$B$613=0,"",_motor!$H$613)</f>
        <v/>
      </c>
      <c r="E33" s="8" t="str">
        <f>IF(OR(_motor!$B$613=0,_motor!$B$674=0),"",_motor!$G$613/_motor!$B$674)</f>
        <v/>
      </c>
      <c r="F33" s="8" t="str">
        <f>IF(OR(_motor!$B$613=0,_motor!$B$674=0),"",_motor!$H$613/_motor!$B$674)</f>
        <v/>
      </c>
      <c r="G33" s="7" t="str">
        <f>IF(_motor!$B$613=0,"",SUMPRODUCT(_motor!$B$586:$B$665*(_motor!$G$586:$G$665&gt;_motor!$G$613))+(SUMPRODUCT(_motor!$B$586:$B$665*(_motor!$G$586:$G$665=_motor!$G$613))+1)/2)</f>
        <v/>
      </c>
      <c r="H33" s="7" t="str">
        <f>IF(_motor!$B$613=0,"",SUMPRODUCT(_motor!$B$586:$B$665*(_motor!$H$586:$H$665&gt;_motor!$H$613))+(SUMPRODUCT(_motor!$B$586:$B$665*(_motor!$H$586:$H$665=_motor!$H$613))+1)/2)</f>
        <v/>
      </c>
      <c r="I33" s="2" t="str">
        <f>IF(_motor!$B$613=0,"",IF(AND(ABS(_motor!$G$613-_motor!$B$670)&lt;=_motor!$B$678+0.000000001,ABS(_motor!$H$613-_motor!$B$670)&lt;=_motor!$B$678+0.000000001),"5 · Pelotón (no concluyente)",IF(AND(_motor!$G$613&gt;=_motor!$B$670,_motor!$H$613&lt;_motor!$B$670),"1 · Entrada / determinante",IF(AND(_motor!$G$613&gt;=_motor!$B$670,_motor!$H$613&gt;=_motor!$B$670),"2 · Intermedia / de enlace",IF(AND(_motor!$G$613&lt;_motor!$B$670,_motor!$H$613&gt;=_motor!$B$670),"3 · Resultado","4 · Excluida / autónoma")))))</f>
        <v/>
      </c>
      <c r="J33" s="2" t="str">
        <f>IF(_motor!$B$613=0,"",IF(AND(ABS(_motor!$G$613-_motor!$B$670)&lt;=_motor!$B$678+0.000000001,ABS(_motor!$H$613-_motor!$B$670)&lt;=_motor!$B$678+0.000000001),"Reguladora",IF(AND(_motor!$G$613&gt;=_motor!$B$670,_motor!$H$613&lt;0.5*_motor!$B$670),"Determinante / entorno",IF(AND(_motor!$G$613&gt;=_motor!$B$670,_motor!$H$613&lt;_motor!$B$670),"Palanca secundaria",IF(AND(_motor!$G$613&gt;=_motor!$B$670,_motor!$H$613&gt;=_motor!$B$670),"Clave / de enlace",IF(AND(_motor!$H$613&gt;=_motor!$B$670,_motor!$G$613&gt;=0.5*_motor!$B$670),"Objetivo",IF(_motor!$H$613&gt;=_motor!$B$670,"Resultado","Autónoma")))))))</f>
        <v/>
      </c>
    </row>
    <row r="34" spans="1:10" x14ac:dyDescent="0.2">
      <c r="A34" s="6" t="str">
        <f>IF(_motor!$B$614=0,"",'02 · Variables'!$B$35)</f>
        <v/>
      </c>
      <c r="B34" s="2" t="str">
        <f>IF(_motor!$B$614=0,"",'02 · Variables'!$C$35)</f>
        <v/>
      </c>
      <c r="C34" s="9" t="str">
        <f>IF(_motor!$B$614=0,"",_motor!$G$614)</f>
        <v/>
      </c>
      <c r="D34" s="9" t="str">
        <f>IF(_motor!$B$614=0,"",_motor!$H$614)</f>
        <v/>
      </c>
      <c r="E34" s="8" t="str">
        <f>IF(OR(_motor!$B$614=0,_motor!$B$674=0),"",_motor!$G$614/_motor!$B$674)</f>
        <v/>
      </c>
      <c r="F34" s="8" t="str">
        <f>IF(OR(_motor!$B$614=0,_motor!$B$674=0),"",_motor!$H$614/_motor!$B$674)</f>
        <v/>
      </c>
      <c r="G34" s="7" t="str">
        <f>IF(_motor!$B$614=0,"",SUMPRODUCT(_motor!$B$586:$B$665*(_motor!$G$586:$G$665&gt;_motor!$G$614))+(SUMPRODUCT(_motor!$B$586:$B$665*(_motor!$G$586:$G$665=_motor!$G$614))+1)/2)</f>
        <v/>
      </c>
      <c r="H34" s="7" t="str">
        <f>IF(_motor!$B$614=0,"",SUMPRODUCT(_motor!$B$586:$B$665*(_motor!$H$586:$H$665&gt;_motor!$H$614))+(SUMPRODUCT(_motor!$B$586:$B$665*(_motor!$H$586:$H$665=_motor!$H$614))+1)/2)</f>
        <v/>
      </c>
      <c r="I34" s="2" t="str">
        <f>IF(_motor!$B$614=0,"",IF(AND(ABS(_motor!$G$614-_motor!$B$670)&lt;=_motor!$B$678+0.000000001,ABS(_motor!$H$614-_motor!$B$670)&lt;=_motor!$B$678+0.000000001),"5 · Pelotón (no concluyente)",IF(AND(_motor!$G$614&gt;=_motor!$B$670,_motor!$H$614&lt;_motor!$B$670),"1 · Entrada / determinante",IF(AND(_motor!$G$614&gt;=_motor!$B$670,_motor!$H$614&gt;=_motor!$B$670),"2 · Intermedia / de enlace",IF(AND(_motor!$G$614&lt;_motor!$B$670,_motor!$H$614&gt;=_motor!$B$670),"3 · Resultado","4 · Excluida / autónoma")))))</f>
        <v/>
      </c>
      <c r="J34" s="2" t="str">
        <f>IF(_motor!$B$614=0,"",IF(AND(ABS(_motor!$G$614-_motor!$B$670)&lt;=_motor!$B$678+0.000000001,ABS(_motor!$H$614-_motor!$B$670)&lt;=_motor!$B$678+0.000000001),"Reguladora",IF(AND(_motor!$G$614&gt;=_motor!$B$670,_motor!$H$614&lt;0.5*_motor!$B$670),"Determinante / entorno",IF(AND(_motor!$G$614&gt;=_motor!$B$670,_motor!$H$614&lt;_motor!$B$670),"Palanca secundaria",IF(AND(_motor!$G$614&gt;=_motor!$B$670,_motor!$H$614&gt;=_motor!$B$670),"Clave / de enlace",IF(AND(_motor!$H$614&gt;=_motor!$B$670,_motor!$G$614&gt;=0.5*_motor!$B$670),"Objetivo",IF(_motor!$H$614&gt;=_motor!$B$670,"Resultado","Autónoma")))))))</f>
        <v/>
      </c>
    </row>
    <row r="35" spans="1:10" x14ac:dyDescent="0.2">
      <c r="A35" s="6" t="str">
        <f>IF(_motor!$B$615=0,"",'02 · Variables'!$B$36)</f>
        <v/>
      </c>
      <c r="B35" s="2" t="str">
        <f>IF(_motor!$B$615=0,"",'02 · Variables'!$C$36)</f>
        <v/>
      </c>
      <c r="C35" s="9" t="str">
        <f>IF(_motor!$B$615=0,"",_motor!$G$615)</f>
        <v/>
      </c>
      <c r="D35" s="9" t="str">
        <f>IF(_motor!$B$615=0,"",_motor!$H$615)</f>
        <v/>
      </c>
      <c r="E35" s="8" t="str">
        <f>IF(OR(_motor!$B$615=0,_motor!$B$674=0),"",_motor!$G$615/_motor!$B$674)</f>
        <v/>
      </c>
      <c r="F35" s="8" t="str">
        <f>IF(OR(_motor!$B$615=0,_motor!$B$674=0),"",_motor!$H$615/_motor!$B$674)</f>
        <v/>
      </c>
      <c r="G35" s="7" t="str">
        <f>IF(_motor!$B$615=0,"",SUMPRODUCT(_motor!$B$586:$B$665*(_motor!$G$586:$G$665&gt;_motor!$G$615))+(SUMPRODUCT(_motor!$B$586:$B$665*(_motor!$G$586:$G$665=_motor!$G$615))+1)/2)</f>
        <v/>
      </c>
      <c r="H35" s="7" t="str">
        <f>IF(_motor!$B$615=0,"",SUMPRODUCT(_motor!$B$586:$B$665*(_motor!$H$586:$H$665&gt;_motor!$H$615))+(SUMPRODUCT(_motor!$B$586:$B$665*(_motor!$H$586:$H$665=_motor!$H$615))+1)/2)</f>
        <v/>
      </c>
      <c r="I35" s="2" t="str">
        <f>IF(_motor!$B$615=0,"",IF(AND(ABS(_motor!$G$615-_motor!$B$670)&lt;=_motor!$B$678+0.000000001,ABS(_motor!$H$615-_motor!$B$670)&lt;=_motor!$B$678+0.000000001),"5 · Pelotón (no concluyente)",IF(AND(_motor!$G$615&gt;=_motor!$B$670,_motor!$H$615&lt;_motor!$B$670),"1 · Entrada / determinante",IF(AND(_motor!$G$615&gt;=_motor!$B$670,_motor!$H$615&gt;=_motor!$B$670),"2 · Intermedia / de enlace",IF(AND(_motor!$G$615&lt;_motor!$B$670,_motor!$H$615&gt;=_motor!$B$670),"3 · Resultado","4 · Excluida / autónoma")))))</f>
        <v/>
      </c>
      <c r="J35" s="2" t="str">
        <f>IF(_motor!$B$615=0,"",IF(AND(ABS(_motor!$G$615-_motor!$B$670)&lt;=_motor!$B$678+0.000000001,ABS(_motor!$H$615-_motor!$B$670)&lt;=_motor!$B$678+0.000000001),"Reguladora",IF(AND(_motor!$G$615&gt;=_motor!$B$670,_motor!$H$615&lt;0.5*_motor!$B$670),"Determinante / entorno",IF(AND(_motor!$G$615&gt;=_motor!$B$670,_motor!$H$615&lt;_motor!$B$670),"Palanca secundaria",IF(AND(_motor!$G$615&gt;=_motor!$B$670,_motor!$H$615&gt;=_motor!$B$670),"Clave / de enlace",IF(AND(_motor!$H$615&gt;=_motor!$B$670,_motor!$G$615&gt;=0.5*_motor!$B$670),"Objetivo",IF(_motor!$H$615&gt;=_motor!$B$670,"Resultado","Autónoma")))))))</f>
        <v/>
      </c>
    </row>
    <row r="36" spans="1:10" x14ac:dyDescent="0.2">
      <c r="A36" s="6" t="str">
        <f>IF(_motor!$B$616=0,"",'02 · Variables'!$B$37)</f>
        <v/>
      </c>
      <c r="B36" s="2" t="str">
        <f>IF(_motor!$B$616=0,"",'02 · Variables'!$C$37)</f>
        <v/>
      </c>
      <c r="C36" s="9" t="str">
        <f>IF(_motor!$B$616=0,"",_motor!$G$616)</f>
        <v/>
      </c>
      <c r="D36" s="9" t="str">
        <f>IF(_motor!$B$616=0,"",_motor!$H$616)</f>
        <v/>
      </c>
      <c r="E36" s="8" t="str">
        <f>IF(OR(_motor!$B$616=0,_motor!$B$674=0),"",_motor!$G$616/_motor!$B$674)</f>
        <v/>
      </c>
      <c r="F36" s="8" t="str">
        <f>IF(OR(_motor!$B$616=0,_motor!$B$674=0),"",_motor!$H$616/_motor!$B$674)</f>
        <v/>
      </c>
      <c r="G36" s="7" t="str">
        <f>IF(_motor!$B$616=0,"",SUMPRODUCT(_motor!$B$586:$B$665*(_motor!$G$586:$G$665&gt;_motor!$G$616))+(SUMPRODUCT(_motor!$B$586:$B$665*(_motor!$G$586:$G$665=_motor!$G$616))+1)/2)</f>
        <v/>
      </c>
      <c r="H36" s="7" t="str">
        <f>IF(_motor!$B$616=0,"",SUMPRODUCT(_motor!$B$586:$B$665*(_motor!$H$586:$H$665&gt;_motor!$H$616))+(SUMPRODUCT(_motor!$B$586:$B$665*(_motor!$H$586:$H$665=_motor!$H$616))+1)/2)</f>
        <v/>
      </c>
      <c r="I36" s="2" t="str">
        <f>IF(_motor!$B$616=0,"",IF(AND(ABS(_motor!$G$616-_motor!$B$670)&lt;=_motor!$B$678+0.000000001,ABS(_motor!$H$616-_motor!$B$670)&lt;=_motor!$B$678+0.000000001),"5 · Pelotón (no concluyente)",IF(AND(_motor!$G$616&gt;=_motor!$B$670,_motor!$H$616&lt;_motor!$B$670),"1 · Entrada / determinante",IF(AND(_motor!$G$616&gt;=_motor!$B$670,_motor!$H$616&gt;=_motor!$B$670),"2 · Intermedia / de enlace",IF(AND(_motor!$G$616&lt;_motor!$B$670,_motor!$H$616&gt;=_motor!$B$670),"3 · Resultado","4 · Excluida / autónoma")))))</f>
        <v/>
      </c>
      <c r="J36" s="2" t="str">
        <f>IF(_motor!$B$616=0,"",IF(AND(ABS(_motor!$G$616-_motor!$B$670)&lt;=_motor!$B$678+0.000000001,ABS(_motor!$H$616-_motor!$B$670)&lt;=_motor!$B$678+0.000000001),"Reguladora",IF(AND(_motor!$G$616&gt;=_motor!$B$670,_motor!$H$616&lt;0.5*_motor!$B$670),"Determinante / entorno",IF(AND(_motor!$G$616&gt;=_motor!$B$670,_motor!$H$616&lt;_motor!$B$670),"Palanca secundaria",IF(AND(_motor!$G$616&gt;=_motor!$B$670,_motor!$H$616&gt;=_motor!$B$670),"Clave / de enlace",IF(AND(_motor!$H$616&gt;=_motor!$B$670,_motor!$G$616&gt;=0.5*_motor!$B$670),"Objetivo",IF(_motor!$H$616&gt;=_motor!$B$670,"Resultado","Autónoma")))))))</f>
        <v/>
      </c>
    </row>
    <row r="37" spans="1:10" x14ac:dyDescent="0.2">
      <c r="A37" s="6" t="str">
        <f>IF(_motor!$B$617=0,"",'02 · Variables'!$B$38)</f>
        <v/>
      </c>
      <c r="B37" s="2" t="str">
        <f>IF(_motor!$B$617=0,"",'02 · Variables'!$C$38)</f>
        <v/>
      </c>
      <c r="C37" s="9" t="str">
        <f>IF(_motor!$B$617=0,"",_motor!$G$617)</f>
        <v/>
      </c>
      <c r="D37" s="9" t="str">
        <f>IF(_motor!$B$617=0,"",_motor!$H$617)</f>
        <v/>
      </c>
      <c r="E37" s="8" t="str">
        <f>IF(OR(_motor!$B$617=0,_motor!$B$674=0),"",_motor!$G$617/_motor!$B$674)</f>
        <v/>
      </c>
      <c r="F37" s="8" t="str">
        <f>IF(OR(_motor!$B$617=0,_motor!$B$674=0),"",_motor!$H$617/_motor!$B$674)</f>
        <v/>
      </c>
      <c r="G37" s="7" t="str">
        <f>IF(_motor!$B$617=0,"",SUMPRODUCT(_motor!$B$586:$B$665*(_motor!$G$586:$G$665&gt;_motor!$G$617))+(SUMPRODUCT(_motor!$B$586:$B$665*(_motor!$G$586:$G$665=_motor!$G$617))+1)/2)</f>
        <v/>
      </c>
      <c r="H37" s="7" t="str">
        <f>IF(_motor!$B$617=0,"",SUMPRODUCT(_motor!$B$586:$B$665*(_motor!$H$586:$H$665&gt;_motor!$H$617))+(SUMPRODUCT(_motor!$B$586:$B$665*(_motor!$H$586:$H$665=_motor!$H$617))+1)/2)</f>
        <v/>
      </c>
      <c r="I37" s="2" t="str">
        <f>IF(_motor!$B$617=0,"",IF(AND(ABS(_motor!$G$617-_motor!$B$670)&lt;=_motor!$B$678+0.000000001,ABS(_motor!$H$617-_motor!$B$670)&lt;=_motor!$B$678+0.000000001),"5 · Pelotón (no concluyente)",IF(AND(_motor!$G$617&gt;=_motor!$B$670,_motor!$H$617&lt;_motor!$B$670),"1 · Entrada / determinante",IF(AND(_motor!$G$617&gt;=_motor!$B$670,_motor!$H$617&gt;=_motor!$B$670),"2 · Intermedia / de enlace",IF(AND(_motor!$G$617&lt;_motor!$B$670,_motor!$H$617&gt;=_motor!$B$670),"3 · Resultado","4 · Excluida / autónoma")))))</f>
        <v/>
      </c>
      <c r="J37" s="2" t="str">
        <f>IF(_motor!$B$617=0,"",IF(AND(ABS(_motor!$G$617-_motor!$B$670)&lt;=_motor!$B$678+0.000000001,ABS(_motor!$H$617-_motor!$B$670)&lt;=_motor!$B$678+0.000000001),"Reguladora",IF(AND(_motor!$G$617&gt;=_motor!$B$670,_motor!$H$617&lt;0.5*_motor!$B$670),"Determinante / entorno",IF(AND(_motor!$G$617&gt;=_motor!$B$670,_motor!$H$617&lt;_motor!$B$670),"Palanca secundaria",IF(AND(_motor!$G$617&gt;=_motor!$B$670,_motor!$H$617&gt;=_motor!$B$670),"Clave / de enlace",IF(AND(_motor!$H$617&gt;=_motor!$B$670,_motor!$G$617&gt;=0.5*_motor!$B$670),"Objetivo",IF(_motor!$H$617&gt;=_motor!$B$670,"Resultado","Autónoma")))))))</f>
        <v/>
      </c>
    </row>
    <row r="38" spans="1:10" x14ac:dyDescent="0.2">
      <c r="A38" s="6" t="str">
        <f>IF(_motor!$B$618=0,"",'02 · Variables'!$B$39)</f>
        <v/>
      </c>
      <c r="B38" s="2" t="str">
        <f>IF(_motor!$B$618=0,"",'02 · Variables'!$C$39)</f>
        <v/>
      </c>
      <c r="C38" s="9" t="str">
        <f>IF(_motor!$B$618=0,"",_motor!$G$618)</f>
        <v/>
      </c>
      <c r="D38" s="9" t="str">
        <f>IF(_motor!$B$618=0,"",_motor!$H$618)</f>
        <v/>
      </c>
      <c r="E38" s="8" t="str">
        <f>IF(OR(_motor!$B$618=0,_motor!$B$674=0),"",_motor!$G$618/_motor!$B$674)</f>
        <v/>
      </c>
      <c r="F38" s="8" t="str">
        <f>IF(OR(_motor!$B$618=0,_motor!$B$674=0),"",_motor!$H$618/_motor!$B$674)</f>
        <v/>
      </c>
      <c r="G38" s="7" t="str">
        <f>IF(_motor!$B$618=0,"",SUMPRODUCT(_motor!$B$586:$B$665*(_motor!$G$586:$G$665&gt;_motor!$G$618))+(SUMPRODUCT(_motor!$B$586:$B$665*(_motor!$G$586:$G$665=_motor!$G$618))+1)/2)</f>
        <v/>
      </c>
      <c r="H38" s="7" t="str">
        <f>IF(_motor!$B$618=0,"",SUMPRODUCT(_motor!$B$586:$B$665*(_motor!$H$586:$H$665&gt;_motor!$H$618))+(SUMPRODUCT(_motor!$B$586:$B$665*(_motor!$H$586:$H$665=_motor!$H$618))+1)/2)</f>
        <v/>
      </c>
      <c r="I38" s="2" t="str">
        <f>IF(_motor!$B$618=0,"",IF(AND(ABS(_motor!$G$618-_motor!$B$670)&lt;=_motor!$B$678+0.000000001,ABS(_motor!$H$618-_motor!$B$670)&lt;=_motor!$B$678+0.000000001),"5 · Pelotón (no concluyente)",IF(AND(_motor!$G$618&gt;=_motor!$B$670,_motor!$H$618&lt;_motor!$B$670),"1 · Entrada / determinante",IF(AND(_motor!$G$618&gt;=_motor!$B$670,_motor!$H$618&gt;=_motor!$B$670),"2 · Intermedia / de enlace",IF(AND(_motor!$G$618&lt;_motor!$B$670,_motor!$H$618&gt;=_motor!$B$670),"3 · Resultado","4 · Excluida / autónoma")))))</f>
        <v/>
      </c>
      <c r="J38" s="2" t="str">
        <f>IF(_motor!$B$618=0,"",IF(AND(ABS(_motor!$G$618-_motor!$B$670)&lt;=_motor!$B$678+0.000000001,ABS(_motor!$H$618-_motor!$B$670)&lt;=_motor!$B$678+0.000000001),"Reguladora",IF(AND(_motor!$G$618&gt;=_motor!$B$670,_motor!$H$618&lt;0.5*_motor!$B$670),"Determinante / entorno",IF(AND(_motor!$G$618&gt;=_motor!$B$670,_motor!$H$618&lt;_motor!$B$670),"Palanca secundaria",IF(AND(_motor!$G$618&gt;=_motor!$B$670,_motor!$H$618&gt;=_motor!$B$670),"Clave / de enlace",IF(AND(_motor!$H$618&gt;=_motor!$B$670,_motor!$G$618&gt;=0.5*_motor!$B$670),"Objetivo",IF(_motor!$H$618&gt;=_motor!$B$670,"Resultado","Autónoma")))))))</f>
        <v/>
      </c>
    </row>
    <row r="39" spans="1:10" x14ac:dyDescent="0.2">
      <c r="A39" s="6" t="str">
        <f>IF(_motor!$B$619=0,"",'02 · Variables'!$B$40)</f>
        <v/>
      </c>
      <c r="B39" s="2" t="str">
        <f>IF(_motor!$B$619=0,"",'02 · Variables'!$C$40)</f>
        <v/>
      </c>
      <c r="C39" s="9" t="str">
        <f>IF(_motor!$B$619=0,"",_motor!$G$619)</f>
        <v/>
      </c>
      <c r="D39" s="9" t="str">
        <f>IF(_motor!$B$619=0,"",_motor!$H$619)</f>
        <v/>
      </c>
      <c r="E39" s="8" t="str">
        <f>IF(OR(_motor!$B$619=0,_motor!$B$674=0),"",_motor!$G$619/_motor!$B$674)</f>
        <v/>
      </c>
      <c r="F39" s="8" t="str">
        <f>IF(OR(_motor!$B$619=0,_motor!$B$674=0),"",_motor!$H$619/_motor!$B$674)</f>
        <v/>
      </c>
      <c r="G39" s="7" t="str">
        <f>IF(_motor!$B$619=0,"",SUMPRODUCT(_motor!$B$586:$B$665*(_motor!$G$586:$G$665&gt;_motor!$G$619))+(SUMPRODUCT(_motor!$B$586:$B$665*(_motor!$G$586:$G$665=_motor!$G$619))+1)/2)</f>
        <v/>
      </c>
      <c r="H39" s="7" t="str">
        <f>IF(_motor!$B$619=0,"",SUMPRODUCT(_motor!$B$586:$B$665*(_motor!$H$586:$H$665&gt;_motor!$H$619))+(SUMPRODUCT(_motor!$B$586:$B$665*(_motor!$H$586:$H$665=_motor!$H$619))+1)/2)</f>
        <v/>
      </c>
      <c r="I39" s="2" t="str">
        <f>IF(_motor!$B$619=0,"",IF(AND(ABS(_motor!$G$619-_motor!$B$670)&lt;=_motor!$B$678+0.000000001,ABS(_motor!$H$619-_motor!$B$670)&lt;=_motor!$B$678+0.000000001),"5 · Pelotón (no concluyente)",IF(AND(_motor!$G$619&gt;=_motor!$B$670,_motor!$H$619&lt;_motor!$B$670),"1 · Entrada / determinante",IF(AND(_motor!$G$619&gt;=_motor!$B$670,_motor!$H$619&gt;=_motor!$B$670),"2 · Intermedia / de enlace",IF(AND(_motor!$G$619&lt;_motor!$B$670,_motor!$H$619&gt;=_motor!$B$670),"3 · Resultado","4 · Excluida / autónoma")))))</f>
        <v/>
      </c>
      <c r="J39" s="2" t="str">
        <f>IF(_motor!$B$619=0,"",IF(AND(ABS(_motor!$G$619-_motor!$B$670)&lt;=_motor!$B$678+0.000000001,ABS(_motor!$H$619-_motor!$B$670)&lt;=_motor!$B$678+0.000000001),"Reguladora",IF(AND(_motor!$G$619&gt;=_motor!$B$670,_motor!$H$619&lt;0.5*_motor!$B$670),"Determinante / entorno",IF(AND(_motor!$G$619&gt;=_motor!$B$670,_motor!$H$619&lt;_motor!$B$670),"Palanca secundaria",IF(AND(_motor!$G$619&gt;=_motor!$B$670,_motor!$H$619&gt;=_motor!$B$670),"Clave / de enlace",IF(AND(_motor!$H$619&gt;=_motor!$B$670,_motor!$G$619&gt;=0.5*_motor!$B$670),"Objetivo",IF(_motor!$H$619&gt;=_motor!$B$670,"Resultado","Autónoma")))))))</f>
        <v/>
      </c>
    </row>
    <row r="40" spans="1:10" x14ac:dyDescent="0.2">
      <c r="A40" s="6" t="str">
        <f>IF(_motor!$B$620=0,"",'02 · Variables'!$B$41)</f>
        <v/>
      </c>
      <c r="B40" s="2" t="str">
        <f>IF(_motor!$B$620=0,"",'02 · Variables'!$C$41)</f>
        <v/>
      </c>
      <c r="C40" s="9" t="str">
        <f>IF(_motor!$B$620=0,"",_motor!$G$620)</f>
        <v/>
      </c>
      <c r="D40" s="9" t="str">
        <f>IF(_motor!$B$620=0,"",_motor!$H$620)</f>
        <v/>
      </c>
      <c r="E40" s="8" t="str">
        <f>IF(OR(_motor!$B$620=0,_motor!$B$674=0),"",_motor!$G$620/_motor!$B$674)</f>
        <v/>
      </c>
      <c r="F40" s="8" t="str">
        <f>IF(OR(_motor!$B$620=0,_motor!$B$674=0),"",_motor!$H$620/_motor!$B$674)</f>
        <v/>
      </c>
      <c r="G40" s="7" t="str">
        <f>IF(_motor!$B$620=0,"",SUMPRODUCT(_motor!$B$586:$B$665*(_motor!$G$586:$G$665&gt;_motor!$G$620))+(SUMPRODUCT(_motor!$B$586:$B$665*(_motor!$G$586:$G$665=_motor!$G$620))+1)/2)</f>
        <v/>
      </c>
      <c r="H40" s="7" t="str">
        <f>IF(_motor!$B$620=0,"",SUMPRODUCT(_motor!$B$586:$B$665*(_motor!$H$586:$H$665&gt;_motor!$H$620))+(SUMPRODUCT(_motor!$B$586:$B$665*(_motor!$H$586:$H$665=_motor!$H$620))+1)/2)</f>
        <v/>
      </c>
      <c r="I40" s="2" t="str">
        <f>IF(_motor!$B$620=0,"",IF(AND(ABS(_motor!$G$620-_motor!$B$670)&lt;=_motor!$B$678+0.000000001,ABS(_motor!$H$620-_motor!$B$670)&lt;=_motor!$B$678+0.000000001),"5 · Pelotón (no concluyente)",IF(AND(_motor!$G$620&gt;=_motor!$B$670,_motor!$H$620&lt;_motor!$B$670),"1 · Entrada / determinante",IF(AND(_motor!$G$620&gt;=_motor!$B$670,_motor!$H$620&gt;=_motor!$B$670),"2 · Intermedia / de enlace",IF(AND(_motor!$G$620&lt;_motor!$B$670,_motor!$H$620&gt;=_motor!$B$670),"3 · Resultado","4 · Excluida / autónoma")))))</f>
        <v/>
      </c>
      <c r="J40" s="2" t="str">
        <f>IF(_motor!$B$620=0,"",IF(AND(ABS(_motor!$G$620-_motor!$B$670)&lt;=_motor!$B$678+0.000000001,ABS(_motor!$H$620-_motor!$B$670)&lt;=_motor!$B$678+0.000000001),"Reguladora",IF(AND(_motor!$G$620&gt;=_motor!$B$670,_motor!$H$620&lt;0.5*_motor!$B$670),"Determinante / entorno",IF(AND(_motor!$G$620&gt;=_motor!$B$670,_motor!$H$620&lt;_motor!$B$670),"Palanca secundaria",IF(AND(_motor!$G$620&gt;=_motor!$B$670,_motor!$H$620&gt;=_motor!$B$670),"Clave / de enlace",IF(AND(_motor!$H$620&gt;=_motor!$B$670,_motor!$G$620&gt;=0.5*_motor!$B$670),"Objetivo",IF(_motor!$H$620&gt;=_motor!$B$670,"Resultado","Autónoma")))))))</f>
        <v/>
      </c>
    </row>
    <row r="41" spans="1:10" x14ac:dyDescent="0.2">
      <c r="A41" s="6" t="str">
        <f>IF(_motor!$B$621=0,"",'02 · Variables'!$B$42)</f>
        <v/>
      </c>
      <c r="B41" s="2" t="str">
        <f>IF(_motor!$B$621=0,"",'02 · Variables'!$C$42)</f>
        <v/>
      </c>
      <c r="C41" s="9" t="str">
        <f>IF(_motor!$B$621=0,"",_motor!$G$621)</f>
        <v/>
      </c>
      <c r="D41" s="9" t="str">
        <f>IF(_motor!$B$621=0,"",_motor!$H$621)</f>
        <v/>
      </c>
      <c r="E41" s="8" t="str">
        <f>IF(OR(_motor!$B$621=0,_motor!$B$674=0),"",_motor!$G$621/_motor!$B$674)</f>
        <v/>
      </c>
      <c r="F41" s="8" t="str">
        <f>IF(OR(_motor!$B$621=0,_motor!$B$674=0),"",_motor!$H$621/_motor!$B$674)</f>
        <v/>
      </c>
      <c r="G41" s="7" t="str">
        <f>IF(_motor!$B$621=0,"",SUMPRODUCT(_motor!$B$586:$B$665*(_motor!$G$586:$G$665&gt;_motor!$G$621))+(SUMPRODUCT(_motor!$B$586:$B$665*(_motor!$G$586:$G$665=_motor!$G$621))+1)/2)</f>
        <v/>
      </c>
      <c r="H41" s="7" t="str">
        <f>IF(_motor!$B$621=0,"",SUMPRODUCT(_motor!$B$586:$B$665*(_motor!$H$586:$H$665&gt;_motor!$H$621))+(SUMPRODUCT(_motor!$B$586:$B$665*(_motor!$H$586:$H$665=_motor!$H$621))+1)/2)</f>
        <v/>
      </c>
      <c r="I41" s="2" t="str">
        <f>IF(_motor!$B$621=0,"",IF(AND(ABS(_motor!$G$621-_motor!$B$670)&lt;=_motor!$B$678+0.000000001,ABS(_motor!$H$621-_motor!$B$670)&lt;=_motor!$B$678+0.000000001),"5 · Pelotón (no concluyente)",IF(AND(_motor!$G$621&gt;=_motor!$B$670,_motor!$H$621&lt;_motor!$B$670),"1 · Entrada / determinante",IF(AND(_motor!$G$621&gt;=_motor!$B$670,_motor!$H$621&gt;=_motor!$B$670),"2 · Intermedia / de enlace",IF(AND(_motor!$G$621&lt;_motor!$B$670,_motor!$H$621&gt;=_motor!$B$670),"3 · Resultado","4 · Excluida / autónoma")))))</f>
        <v/>
      </c>
      <c r="J41" s="2" t="str">
        <f>IF(_motor!$B$621=0,"",IF(AND(ABS(_motor!$G$621-_motor!$B$670)&lt;=_motor!$B$678+0.000000001,ABS(_motor!$H$621-_motor!$B$670)&lt;=_motor!$B$678+0.000000001),"Reguladora",IF(AND(_motor!$G$621&gt;=_motor!$B$670,_motor!$H$621&lt;0.5*_motor!$B$670),"Determinante / entorno",IF(AND(_motor!$G$621&gt;=_motor!$B$670,_motor!$H$621&lt;_motor!$B$670),"Palanca secundaria",IF(AND(_motor!$G$621&gt;=_motor!$B$670,_motor!$H$621&gt;=_motor!$B$670),"Clave / de enlace",IF(AND(_motor!$H$621&gt;=_motor!$B$670,_motor!$G$621&gt;=0.5*_motor!$B$670),"Objetivo",IF(_motor!$H$621&gt;=_motor!$B$670,"Resultado","Autónoma")))))))</f>
        <v/>
      </c>
    </row>
    <row r="42" spans="1:10" x14ac:dyDescent="0.2">
      <c r="A42" s="6" t="str">
        <f>IF(_motor!$B$622=0,"",'02 · Variables'!$B$43)</f>
        <v/>
      </c>
      <c r="B42" s="2" t="str">
        <f>IF(_motor!$B$622=0,"",'02 · Variables'!$C$43)</f>
        <v/>
      </c>
      <c r="C42" s="9" t="str">
        <f>IF(_motor!$B$622=0,"",_motor!$G$622)</f>
        <v/>
      </c>
      <c r="D42" s="9" t="str">
        <f>IF(_motor!$B$622=0,"",_motor!$H$622)</f>
        <v/>
      </c>
      <c r="E42" s="8" t="str">
        <f>IF(OR(_motor!$B$622=0,_motor!$B$674=0),"",_motor!$G$622/_motor!$B$674)</f>
        <v/>
      </c>
      <c r="F42" s="8" t="str">
        <f>IF(OR(_motor!$B$622=0,_motor!$B$674=0),"",_motor!$H$622/_motor!$B$674)</f>
        <v/>
      </c>
      <c r="G42" s="7" t="str">
        <f>IF(_motor!$B$622=0,"",SUMPRODUCT(_motor!$B$586:$B$665*(_motor!$G$586:$G$665&gt;_motor!$G$622))+(SUMPRODUCT(_motor!$B$586:$B$665*(_motor!$G$586:$G$665=_motor!$G$622))+1)/2)</f>
        <v/>
      </c>
      <c r="H42" s="7" t="str">
        <f>IF(_motor!$B$622=0,"",SUMPRODUCT(_motor!$B$586:$B$665*(_motor!$H$586:$H$665&gt;_motor!$H$622))+(SUMPRODUCT(_motor!$B$586:$B$665*(_motor!$H$586:$H$665=_motor!$H$622))+1)/2)</f>
        <v/>
      </c>
      <c r="I42" s="2" t="str">
        <f>IF(_motor!$B$622=0,"",IF(AND(ABS(_motor!$G$622-_motor!$B$670)&lt;=_motor!$B$678+0.000000001,ABS(_motor!$H$622-_motor!$B$670)&lt;=_motor!$B$678+0.000000001),"5 · Pelotón (no concluyente)",IF(AND(_motor!$G$622&gt;=_motor!$B$670,_motor!$H$622&lt;_motor!$B$670),"1 · Entrada / determinante",IF(AND(_motor!$G$622&gt;=_motor!$B$670,_motor!$H$622&gt;=_motor!$B$670),"2 · Intermedia / de enlace",IF(AND(_motor!$G$622&lt;_motor!$B$670,_motor!$H$622&gt;=_motor!$B$670),"3 · Resultado","4 · Excluida / autónoma")))))</f>
        <v/>
      </c>
      <c r="J42" s="2" t="str">
        <f>IF(_motor!$B$622=0,"",IF(AND(ABS(_motor!$G$622-_motor!$B$670)&lt;=_motor!$B$678+0.000000001,ABS(_motor!$H$622-_motor!$B$670)&lt;=_motor!$B$678+0.000000001),"Reguladora",IF(AND(_motor!$G$622&gt;=_motor!$B$670,_motor!$H$622&lt;0.5*_motor!$B$670),"Determinante / entorno",IF(AND(_motor!$G$622&gt;=_motor!$B$670,_motor!$H$622&lt;_motor!$B$670),"Palanca secundaria",IF(AND(_motor!$G$622&gt;=_motor!$B$670,_motor!$H$622&gt;=_motor!$B$670),"Clave / de enlace",IF(AND(_motor!$H$622&gt;=_motor!$B$670,_motor!$G$622&gt;=0.5*_motor!$B$670),"Objetivo",IF(_motor!$H$622&gt;=_motor!$B$670,"Resultado","Autónoma")))))))</f>
        <v/>
      </c>
    </row>
    <row r="43" spans="1:10" x14ac:dyDescent="0.2">
      <c r="A43" s="6" t="str">
        <f>IF(_motor!$B$623=0,"",'02 · Variables'!$B$44)</f>
        <v/>
      </c>
      <c r="B43" s="2" t="str">
        <f>IF(_motor!$B$623=0,"",'02 · Variables'!$C$44)</f>
        <v/>
      </c>
      <c r="C43" s="9" t="str">
        <f>IF(_motor!$B$623=0,"",_motor!$G$623)</f>
        <v/>
      </c>
      <c r="D43" s="9" t="str">
        <f>IF(_motor!$B$623=0,"",_motor!$H$623)</f>
        <v/>
      </c>
      <c r="E43" s="8" t="str">
        <f>IF(OR(_motor!$B$623=0,_motor!$B$674=0),"",_motor!$G$623/_motor!$B$674)</f>
        <v/>
      </c>
      <c r="F43" s="8" t="str">
        <f>IF(OR(_motor!$B$623=0,_motor!$B$674=0),"",_motor!$H$623/_motor!$B$674)</f>
        <v/>
      </c>
      <c r="G43" s="7" t="str">
        <f>IF(_motor!$B$623=0,"",SUMPRODUCT(_motor!$B$586:$B$665*(_motor!$G$586:$G$665&gt;_motor!$G$623))+(SUMPRODUCT(_motor!$B$586:$B$665*(_motor!$G$586:$G$665=_motor!$G$623))+1)/2)</f>
        <v/>
      </c>
      <c r="H43" s="7" t="str">
        <f>IF(_motor!$B$623=0,"",SUMPRODUCT(_motor!$B$586:$B$665*(_motor!$H$586:$H$665&gt;_motor!$H$623))+(SUMPRODUCT(_motor!$B$586:$B$665*(_motor!$H$586:$H$665=_motor!$H$623))+1)/2)</f>
        <v/>
      </c>
      <c r="I43" s="2" t="str">
        <f>IF(_motor!$B$623=0,"",IF(AND(ABS(_motor!$G$623-_motor!$B$670)&lt;=_motor!$B$678+0.000000001,ABS(_motor!$H$623-_motor!$B$670)&lt;=_motor!$B$678+0.000000001),"5 · Pelotón (no concluyente)",IF(AND(_motor!$G$623&gt;=_motor!$B$670,_motor!$H$623&lt;_motor!$B$670),"1 · Entrada / determinante",IF(AND(_motor!$G$623&gt;=_motor!$B$670,_motor!$H$623&gt;=_motor!$B$670),"2 · Intermedia / de enlace",IF(AND(_motor!$G$623&lt;_motor!$B$670,_motor!$H$623&gt;=_motor!$B$670),"3 · Resultado","4 · Excluida / autónoma")))))</f>
        <v/>
      </c>
      <c r="J43" s="2" t="str">
        <f>IF(_motor!$B$623=0,"",IF(AND(ABS(_motor!$G$623-_motor!$B$670)&lt;=_motor!$B$678+0.000000001,ABS(_motor!$H$623-_motor!$B$670)&lt;=_motor!$B$678+0.000000001),"Reguladora",IF(AND(_motor!$G$623&gt;=_motor!$B$670,_motor!$H$623&lt;0.5*_motor!$B$670),"Determinante / entorno",IF(AND(_motor!$G$623&gt;=_motor!$B$670,_motor!$H$623&lt;_motor!$B$670),"Palanca secundaria",IF(AND(_motor!$G$623&gt;=_motor!$B$670,_motor!$H$623&gt;=_motor!$B$670),"Clave / de enlace",IF(AND(_motor!$H$623&gt;=_motor!$B$670,_motor!$G$623&gt;=0.5*_motor!$B$670),"Objetivo",IF(_motor!$H$623&gt;=_motor!$B$670,"Resultado","Autónoma")))))))</f>
        <v/>
      </c>
    </row>
    <row r="44" spans="1:10" x14ac:dyDescent="0.2">
      <c r="A44" s="6" t="str">
        <f>IF(_motor!$B$624=0,"",'02 · Variables'!$B$45)</f>
        <v/>
      </c>
      <c r="B44" s="2" t="str">
        <f>IF(_motor!$B$624=0,"",'02 · Variables'!$C$45)</f>
        <v/>
      </c>
      <c r="C44" s="9" t="str">
        <f>IF(_motor!$B$624=0,"",_motor!$G$624)</f>
        <v/>
      </c>
      <c r="D44" s="9" t="str">
        <f>IF(_motor!$B$624=0,"",_motor!$H$624)</f>
        <v/>
      </c>
      <c r="E44" s="8" t="str">
        <f>IF(OR(_motor!$B$624=0,_motor!$B$674=0),"",_motor!$G$624/_motor!$B$674)</f>
        <v/>
      </c>
      <c r="F44" s="8" t="str">
        <f>IF(OR(_motor!$B$624=0,_motor!$B$674=0),"",_motor!$H$624/_motor!$B$674)</f>
        <v/>
      </c>
      <c r="G44" s="7" t="str">
        <f>IF(_motor!$B$624=0,"",SUMPRODUCT(_motor!$B$586:$B$665*(_motor!$G$586:$G$665&gt;_motor!$G$624))+(SUMPRODUCT(_motor!$B$586:$B$665*(_motor!$G$586:$G$665=_motor!$G$624))+1)/2)</f>
        <v/>
      </c>
      <c r="H44" s="7" t="str">
        <f>IF(_motor!$B$624=0,"",SUMPRODUCT(_motor!$B$586:$B$665*(_motor!$H$586:$H$665&gt;_motor!$H$624))+(SUMPRODUCT(_motor!$B$586:$B$665*(_motor!$H$586:$H$665=_motor!$H$624))+1)/2)</f>
        <v/>
      </c>
      <c r="I44" s="2" t="str">
        <f>IF(_motor!$B$624=0,"",IF(AND(ABS(_motor!$G$624-_motor!$B$670)&lt;=_motor!$B$678+0.000000001,ABS(_motor!$H$624-_motor!$B$670)&lt;=_motor!$B$678+0.000000001),"5 · Pelotón (no concluyente)",IF(AND(_motor!$G$624&gt;=_motor!$B$670,_motor!$H$624&lt;_motor!$B$670),"1 · Entrada / determinante",IF(AND(_motor!$G$624&gt;=_motor!$B$670,_motor!$H$624&gt;=_motor!$B$670),"2 · Intermedia / de enlace",IF(AND(_motor!$G$624&lt;_motor!$B$670,_motor!$H$624&gt;=_motor!$B$670),"3 · Resultado","4 · Excluida / autónoma")))))</f>
        <v/>
      </c>
      <c r="J44" s="2" t="str">
        <f>IF(_motor!$B$624=0,"",IF(AND(ABS(_motor!$G$624-_motor!$B$670)&lt;=_motor!$B$678+0.000000001,ABS(_motor!$H$624-_motor!$B$670)&lt;=_motor!$B$678+0.000000001),"Reguladora",IF(AND(_motor!$G$624&gt;=_motor!$B$670,_motor!$H$624&lt;0.5*_motor!$B$670),"Determinante / entorno",IF(AND(_motor!$G$624&gt;=_motor!$B$670,_motor!$H$624&lt;_motor!$B$670),"Palanca secundaria",IF(AND(_motor!$G$624&gt;=_motor!$B$670,_motor!$H$624&gt;=_motor!$B$670),"Clave / de enlace",IF(AND(_motor!$H$624&gt;=_motor!$B$670,_motor!$G$624&gt;=0.5*_motor!$B$670),"Objetivo",IF(_motor!$H$624&gt;=_motor!$B$670,"Resultado","Autónoma")))))))</f>
        <v/>
      </c>
    </row>
    <row r="45" spans="1:10" x14ac:dyDescent="0.2">
      <c r="A45" s="6" t="str">
        <f>IF(_motor!$B$625=0,"",'02 · Variables'!$B$46)</f>
        <v/>
      </c>
      <c r="B45" s="2" t="str">
        <f>IF(_motor!$B$625=0,"",'02 · Variables'!$C$46)</f>
        <v/>
      </c>
      <c r="C45" s="9" t="str">
        <f>IF(_motor!$B$625=0,"",_motor!$G$625)</f>
        <v/>
      </c>
      <c r="D45" s="9" t="str">
        <f>IF(_motor!$B$625=0,"",_motor!$H$625)</f>
        <v/>
      </c>
      <c r="E45" s="8" t="str">
        <f>IF(OR(_motor!$B$625=0,_motor!$B$674=0),"",_motor!$G$625/_motor!$B$674)</f>
        <v/>
      </c>
      <c r="F45" s="8" t="str">
        <f>IF(OR(_motor!$B$625=0,_motor!$B$674=0),"",_motor!$H$625/_motor!$B$674)</f>
        <v/>
      </c>
      <c r="G45" s="7" t="str">
        <f>IF(_motor!$B$625=0,"",SUMPRODUCT(_motor!$B$586:$B$665*(_motor!$G$586:$G$665&gt;_motor!$G$625))+(SUMPRODUCT(_motor!$B$586:$B$665*(_motor!$G$586:$G$665=_motor!$G$625))+1)/2)</f>
        <v/>
      </c>
      <c r="H45" s="7" t="str">
        <f>IF(_motor!$B$625=0,"",SUMPRODUCT(_motor!$B$586:$B$665*(_motor!$H$586:$H$665&gt;_motor!$H$625))+(SUMPRODUCT(_motor!$B$586:$B$665*(_motor!$H$586:$H$665=_motor!$H$625))+1)/2)</f>
        <v/>
      </c>
      <c r="I45" s="2" t="str">
        <f>IF(_motor!$B$625=0,"",IF(AND(ABS(_motor!$G$625-_motor!$B$670)&lt;=_motor!$B$678+0.000000001,ABS(_motor!$H$625-_motor!$B$670)&lt;=_motor!$B$678+0.000000001),"5 · Pelotón (no concluyente)",IF(AND(_motor!$G$625&gt;=_motor!$B$670,_motor!$H$625&lt;_motor!$B$670),"1 · Entrada / determinante",IF(AND(_motor!$G$625&gt;=_motor!$B$670,_motor!$H$625&gt;=_motor!$B$670),"2 · Intermedia / de enlace",IF(AND(_motor!$G$625&lt;_motor!$B$670,_motor!$H$625&gt;=_motor!$B$670),"3 · Resultado","4 · Excluida / autónoma")))))</f>
        <v/>
      </c>
      <c r="J45" s="2" t="str">
        <f>IF(_motor!$B$625=0,"",IF(AND(ABS(_motor!$G$625-_motor!$B$670)&lt;=_motor!$B$678+0.000000001,ABS(_motor!$H$625-_motor!$B$670)&lt;=_motor!$B$678+0.000000001),"Reguladora",IF(AND(_motor!$G$625&gt;=_motor!$B$670,_motor!$H$625&lt;0.5*_motor!$B$670),"Determinante / entorno",IF(AND(_motor!$G$625&gt;=_motor!$B$670,_motor!$H$625&lt;_motor!$B$670),"Palanca secundaria",IF(AND(_motor!$G$625&gt;=_motor!$B$670,_motor!$H$625&gt;=_motor!$B$670),"Clave / de enlace",IF(AND(_motor!$H$625&gt;=_motor!$B$670,_motor!$G$625&gt;=0.5*_motor!$B$670),"Objetivo",IF(_motor!$H$625&gt;=_motor!$B$670,"Resultado","Autónoma")))))))</f>
        <v/>
      </c>
    </row>
    <row r="46" spans="1:10" x14ac:dyDescent="0.2">
      <c r="A46" s="6" t="str">
        <f>IF(_motor!$B$626=0,"",'02 · Variables'!$B$47)</f>
        <v/>
      </c>
      <c r="B46" s="2" t="str">
        <f>IF(_motor!$B$626=0,"",'02 · Variables'!$C$47)</f>
        <v/>
      </c>
      <c r="C46" s="9" t="str">
        <f>IF(_motor!$B$626=0,"",_motor!$G$626)</f>
        <v/>
      </c>
      <c r="D46" s="9" t="str">
        <f>IF(_motor!$B$626=0,"",_motor!$H$626)</f>
        <v/>
      </c>
      <c r="E46" s="8" t="str">
        <f>IF(OR(_motor!$B$626=0,_motor!$B$674=0),"",_motor!$G$626/_motor!$B$674)</f>
        <v/>
      </c>
      <c r="F46" s="8" t="str">
        <f>IF(OR(_motor!$B$626=0,_motor!$B$674=0),"",_motor!$H$626/_motor!$B$674)</f>
        <v/>
      </c>
      <c r="G46" s="7" t="str">
        <f>IF(_motor!$B$626=0,"",SUMPRODUCT(_motor!$B$586:$B$665*(_motor!$G$586:$G$665&gt;_motor!$G$626))+(SUMPRODUCT(_motor!$B$586:$B$665*(_motor!$G$586:$G$665=_motor!$G$626))+1)/2)</f>
        <v/>
      </c>
      <c r="H46" s="7" t="str">
        <f>IF(_motor!$B$626=0,"",SUMPRODUCT(_motor!$B$586:$B$665*(_motor!$H$586:$H$665&gt;_motor!$H$626))+(SUMPRODUCT(_motor!$B$586:$B$665*(_motor!$H$586:$H$665=_motor!$H$626))+1)/2)</f>
        <v/>
      </c>
      <c r="I46" s="2" t="str">
        <f>IF(_motor!$B$626=0,"",IF(AND(ABS(_motor!$G$626-_motor!$B$670)&lt;=_motor!$B$678+0.000000001,ABS(_motor!$H$626-_motor!$B$670)&lt;=_motor!$B$678+0.000000001),"5 · Pelotón (no concluyente)",IF(AND(_motor!$G$626&gt;=_motor!$B$670,_motor!$H$626&lt;_motor!$B$670),"1 · Entrada / determinante",IF(AND(_motor!$G$626&gt;=_motor!$B$670,_motor!$H$626&gt;=_motor!$B$670),"2 · Intermedia / de enlace",IF(AND(_motor!$G$626&lt;_motor!$B$670,_motor!$H$626&gt;=_motor!$B$670),"3 · Resultado","4 · Excluida / autónoma")))))</f>
        <v/>
      </c>
      <c r="J46" s="2" t="str">
        <f>IF(_motor!$B$626=0,"",IF(AND(ABS(_motor!$G$626-_motor!$B$670)&lt;=_motor!$B$678+0.000000001,ABS(_motor!$H$626-_motor!$B$670)&lt;=_motor!$B$678+0.000000001),"Reguladora",IF(AND(_motor!$G$626&gt;=_motor!$B$670,_motor!$H$626&lt;0.5*_motor!$B$670),"Determinante / entorno",IF(AND(_motor!$G$626&gt;=_motor!$B$670,_motor!$H$626&lt;_motor!$B$670),"Palanca secundaria",IF(AND(_motor!$G$626&gt;=_motor!$B$670,_motor!$H$626&gt;=_motor!$B$670),"Clave / de enlace",IF(AND(_motor!$H$626&gt;=_motor!$B$670,_motor!$G$626&gt;=0.5*_motor!$B$670),"Objetivo",IF(_motor!$H$626&gt;=_motor!$B$670,"Resultado","Autónoma")))))))</f>
        <v/>
      </c>
    </row>
    <row r="47" spans="1:10" x14ac:dyDescent="0.2">
      <c r="A47" s="6" t="str">
        <f>IF(_motor!$B$627=0,"",'02 · Variables'!$B$48)</f>
        <v/>
      </c>
      <c r="B47" s="2" t="str">
        <f>IF(_motor!$B$627=0,"",'02 · Variables'!$C$48)</f>
        <v/>
      </c>
      <c r="C47" s="9" t="str">
        <f>IF(_motor!$B$627=0,"",_motor!$G$627)</f>
        <v/>
      </c>
      <c r="D47" s="9" t="str">
        <f>IF(_motor!$B$627=0,"",_motor!$H$627)</f>
        <v/>
      </c>
      <c r="E47" s="8" t="str">
        <f>IF(OR(_motor!$B$627=0,_motor!$B$674=0),"",_motor!$G$627/_motor!$B$674)</f>
        <v/>
      </c>
      <c r="F47" s="8" t="str">
        <f>IF(OR(_motor!$B$627=0,_motor!$B$674=0),"",_motor!$H$627/_motor!$B$674)</f>
        <v/>
      </c>
      <c r="G47" s="7" t="str">
        <f>IF(_motor!$B$627=0,"",SUMPRODUCT(_motor!$B$586:$B$665*(_motor!$G$586:$G$665&gt;_motor!$G$627))+(SUMPRODUCT(_motor!$B$586:$B$665*(_motor!$G$586:$G$665=_motor!$G$627))+1)/2)</f>
        <v/>
      </c>
      <c r="H47" s="7" t="str">
        <f>IF(_motor!$B$627=0,"",SUMPRODUCT(_motor!$B$586:$B$665*(_motor!$H$586:$H$665&gt;_motor!$H$627))+(SUMPRODUCT(_motor!$B$586:$B$665*(_motor!$H$586:$H$665=_motor!$H$627))+1)/2)</f>
        <v/>
      </c>
      <c r="I47" s="2" t="str">
        <f>IF(_motor!$B$627=0,"",IF(AND(ABS(_motor!$G$627-_motor!$B$670)&lt;=_motor!$B$678+0.000000001,ABS(_motor!$H$627-_motor!$B$670)&lt;=_motor!$B$678+0.000000001),"5 · Pelotón (no concluyente)",IF(AND(_motor!$G$627&gt;=_motor!$B$670,_motor!$H$627&lt;_motor!$B$670),"1 · Entrada / determinante",IF(AND(_motor!$G$627&gt;=_motor!$B$670,_motor!$H$627&gt;=_motor!$B$670),"2 · Intermedia / de enlace",IF(AND(_motor!$G$627&lt;_motor!$B$670,_motor!$H$627&gt;=_motor!$B$670),"3 · Resultado","4 · Excluida / autónoma")))))</f>
        <v/>
      </c>
      <c r="J47" s="2" t="str">
        <f>IF(_motor!$B$627=0,"",IF(AND(ABS(_motor!$G$627-_motor!$B$670)&lt;=_motor!$B$678+0.000000001,ABS(_motor!$H$627-_motor!$B$670)&lt;=_motor!$B$678+0.000000001),"Reguladora",IF(AND(_motor!$G$627&gt;=_motor!$B$670,_motor!$H$627&lt;0.5*_motor!$B$670),"Determinante / entorno",IF(AND(_motor!$G$627&gt;=_motor!$B$670,_motor!$H$627&lt;_motor!$B$670),"Palanca secundaria",IF(AND(_motor!$G$627&gt;=_motor!$B$670,_motor!$H$627&gt;=_motor!$B$670),"Clave / de enlace",IF(AND(_motor!$H$627&gt;=_motor!$B$670,_motor!$G$627&gt;=0.5*_motor!$B$670),"Objetivo",IF(_motor!$H$627&gt;=_motor!$B$670,"Resultado","Autónoma")))))))</f>
        <v/>
      </c>
    </row>
    <row r="48" spans="1:10" x14ac:dyDescent="0.2">
      <c r="A48" s="6" t="str">
        <f>IF(_motor!$B$628=0,"",'02 · Variables'!$B$49)</f>
        <v/>
      </c>
      <c r="B48" s="2" t="str">
        <f>IF(_motor!$B$628=0,"",'02 · Variables'!$C$49)</f>
        <v/>
      </c>
      <c r="C48" s="9" t="str">
        <f>IF(_motor!$B$628=0,"",_motor!$G$628)</f>
        <v/>
      </c>
      <c r="D48" s="9" t="str">
        <f>IF(_motor!$B$628=0,"",_motor!$H$628)</f>
        <v/>
      </c>
      <c r="E48" s="8" t="str">
        <f>IF(OR(_motor!$B$628=0,_motor!$B$674=0),"",_motor!$G$628/_motor!$B$674)</f>
        <v/>
      </c>
      <c r="F48" s="8" t="str">
        <f>IF(OR(_motor!$B$628=0,_motor!$B$674=0),"",_motor!$H$628/_motor!$B$674)</f>
        <v/>
      </c>
      <c r="G48" s="7" t="str">
        <f>IF(_motor!$B$628=0,"",SUMPRODUCT(_motor!$B$586:$B$665*(_motor!$G$586:$G$665&gt;_motor!$G$628))+(SUMPRODUCT(_motor!$B$586:$B$665*(_motor!$G$586:$G$665=_motor!$G$628))+1)/2)</f>
        <v/>
      </c>
      <c r="H48" s="7" t="str">
        <f>IF(_motor!$B$628=0,"",SUMPRODUCT(_motor!$B$586:$B$665*(_motor!$H$586:$H$665&gt;_motor!$H$628))+(SUMPRODUCT(_motor!$B$586:$B$665*(_motor!$H$586:$H$665=_motor!$H$628))+1)/2)</f>
        <v/>
      </c>
      <c r="I48" s="2" t="str">
        <f>IF(_motor!$B$628=0,"",IF(AND(ABS(_motor!$G$628-_motor!$B$670)&lt;=_motor!$B$678+0.000000001,ABS(_motor!$H$628-_motor!$B$670)&lt;=_motor!$B$678+0.000000001),"5 · Pelotón (no concluyente)",IF(AND(_motor!$G$628&gt;=_motor!$B$670,_motor!$H$628&lt;_motor!$B$670),"1 · Entrada / determinante",IF(AND(_motor!$G$628&gt;=_motor!$B$670,_motor!$H$628&gt;=_motor!$B$670),"2 · Intermedia / de enlace",IF(AND(_motor!$G$628&lt;_motor!$B$670,_motor!$H$628&gt;=_motor!$B$670),"3 · Resultado","4 · Excluida / autónoma")))))</f>
        <v/>
      </c>
      <c r="J48" s="2" t="str">
        <f>IF(_motor!$B$628=0,"",IF(AND(ABS(_motor!$G$628-_motor!$B$670)&lt;=_motor!$B$678+0.000000001,ABS(_motor!$H$628-_motor!$B$670)&lt;=_motor!$B$678+0.000000001),"Reguladora",IF(AND(_motor!$G$628&gt;=_motor!$B$670,_motor!$H$628&lt;0.5*_motor!$B$670),"Determinante / entorno",IF(AND(_motor!$G$628&gt;=_motor!$B$670,_motor!$H$628&lt;_motor!$B$670),"Palanca secundaria",IF(AND(_motor!$G$628&gt;=_motor!$B$670,_motor!$H$628&gt;=_motor!$B$670),"Clave / de enlace",IF(AND(_motor!$H$628&gt;=_motor!$B$670,_motor!$G$628&gt;=0.5*_motor!$B$670),"Objetivo",IF(_motor!$H$628&gt;=_motor!$B$670,"Resultado","Autónoma")))))))</f>
        <v/>
      </c>
    </row>
    <row r="49" spans="1:10" x14ac:dyDescent="0.2">
      <c r="A49" s="6" t="str">
        <f>IF(_motor!$B$629=0,"",'02 · Variables'!$B$50)</f>
        <v/>
      </c>
      <c r="B49" s="2" t="str">
        <f>IF(_motor!$B$629=0,"",'02 · Variables'!$C$50)</f>
        <v/>
      </c>
      <c r="C49" s="9" t="str">
        <f>IF(_motor!$B$629=0,"",_motor!$G$629)</f>
        <v/>
      </c>
      <c r="D49" s="9" t="str">
        <f>IF(_motor!$B$629=0,"",_motor!$H$629)</f>
        <v/>
      </c>
      <c r="E49" s="8" t="str">
        <f>IF(OR(_motor!$B$629=0,_motor!$B$674=0),"",_motor!$G$629/_motor!$B$674)</f>
        <v/>
      </c>
      <c r="F49" s="8" t="str">
        <f>IF(OR(_motor!$B$629=0,_motor!$B$674=0),"",_motor!$H$629/_motor!$B$674)</f>
        <v/>
      </c>
      <c r="G49" s="7" t="str">
        <f>IF(_motor!$B$629=0,"",SUMPRODUCT(_motor!$B$586:$B$665*(_motor!$G$586:$G$665&gt;_motor!$G$629))+(SUMPRODUCT(_motor!$B$586:$B$665*(_motor!$G$586:$G$665=_motor!$G$629))+1)/2)</f>
        <v/>
      </c>
      <c r="H49" s="7" t="str">
        <f>IF(_motor!$B$629=0,"",SUMPRODUCT(_motor!$B$586:$B$665*(_motor!$H$586:$H$665&gt;_motor!$H$629))+(SUMPRODUCT(_motor!$B$586:$B$665*(_motor!$H$586:$H$665=_motor!$H$629))+1)/2)</f>
        <v/>
      </c>
      <c r="I49" s="2" t="str">
        <f>IF(_motor!$B$629=0,"",IF(AND(ABS(_motor!$G$629-_motor!$B$670)&lt;=_motor!$B$678+0.000000001,ABS(_motor!$H$629-_motor!$B$670)&lt;=_motor!$B$678+0.000000001),"5 · Pelotón (no concluyente)",IF(AND(_motor!$G$629&gt;=_motor!$B$670,_motor!$H$629&lt;_motor!$B$670),"1 · Entrada / determinante",IF(AND(_motor!$G$629&gt;=_motor!$B$670,_motor!$H$629&gt;=_motor!$B$670),"2 · Intermedia / de enlace",IF(AND(_motor!$G$629&lt;_motor!$B$670,_motor!$H$629&gt;=_motor!$B$670),"3 · Resultado","4 · Excluida / autónoma")))))</f>
        <v/>
      </c>
      <c r="J49" s="2" t="str">
        <f>IF(_motor!$B$629=0,"",IF(AND(ABS(_motor!$G$629-_motor!$B$670)&lt;=_motor!$B$678+0.000000001,ABS(_motor!$H$629-_motor!$B$670)&lt;=_motor!$B$678+0.000000001),"Reguladora",IF(AND(_motor!$G$629&gt;=_motor!$B$670,_motor!$H$629&lt;0.5*_motor!$B$670),"Determinante / entorno",IF(AND(_motor!$G$629&gt;=_motor!$B$670,_motor!$H$629&lt;_motor!$B$670),"Palanca secundaria",IF(AND(_motor!$G$629&gt;=_motor!$B$670,_motor!$H$629&gt;=_motor!$B$670),"Clave / de enlace",IF(AND(_motor!$H$629&gt;=_motor!$B$670,_motor!$G$629&gt;=0.5*_motor!$B$670),"Objetivo",IF(_motor!$H$629&gt;=_motor!$B$670,"Resultado","Autónoma")))))))</f>
        <v/>
      </c>
    </row>
    <row r="50" spans="1:10" x14ac:dyDescent="0.2">
      <c r="A50" s="6" t="str">
        <f>IF(_motor!$B$630=0,"",'02 · Variables'!$B$51)</f>
        <v/>
      </c>
      <c r="B50" s="2" t="str">
        <f>IF(_motor!$B$630=0,"",'02 · Variables'!$C$51)</f>
        <v/>
      </c>
      <c r="C50" s="9" t="str">
        <f>IF(_motor!$B$630=0,"",_motor!$G$630)</f>
        <v/>
      </c>
      <c r="D50" s="9" t="str">
        <f>IF(_motor!$B$630=0,"",_motor!$H$630)</f>
        <v/>
      </c>
      <c r="E50" s="8" t="str">
        <f>IF(OR(_motor!$B$630=0,_motor!$B$674=0),"",_motor!$G$630/_motor!$B$674)</f>
        <v/>
      </c>
      <c r="F50" s="8" t="str">
        <f>IF(OR(_motor!$B$630=0,_motor!$B$674=0),"",_motor!$H$630/_motor!$B$674)</f>
        <v/>
      </c>
      <c r="G50" s="7" t="str">
        <f>IF(_motor!$B$630=0,"",SUMPRODUCT(_motor!$B$586:$B$665*(_motor!$G$586:$G$665&gt;_motor!$G$630))+(SUMPRODUCT(_motor!$B$586:$B$665*(_motor!$G$586:$G$665=_motor!$G$630))+1)/2)</f>
        <v/>
      </c>
      <c r="H50" s="7" t="str">
        <f>IF(_motor!$B$630=0,"",SUMPRODUCT(_motor!$B$586:$B$665*(_motor!$H$586:$H$665&gt;_motor!$H$630))+(SUMPRODUCT(_motor!$B$586:$B$665*(_motor!$H$586:$H$665=_motor!$H$630))+1)/2)</f>
        <v/>
      </c>
      <c r="I50" s="2" t="str">
        <f>IF(_motor!$B$630=0,"",IF(AND(ABS(_motor!$G$630-_motor!$B$670)&lt;=_motor!$B$678+0.000000001,ABS(_motor!$H$630-_motor!$B$670)&lt;=_motor!$B$678+0.000000001),"5 · Pelotón (no concluyente)",IF(AND(_motor!$G$630&gt;=_motor!$B$670,_motor!$H$630&lt;_motor!$B$670),"1 · Entrada / determinante",IF(AND(_motor!$G$630&gt;=_motor!$B$670,_motor!$H$630&gt;=_motor!$B$670),"2 · Intermedia / de enlace",IF(AND(_motor!$G$630&lt;_motor!$B$670,_motor!$H$630&gt;=_motor!$B$670),"3 · Resultado","4 · Excluida / autónoma")))))</f>
        <v/>
      </c>
      <c r="J50" s="2" t="str">
        <f>IF(_motor!$B$630=0,"",IF(AND(ABS(_motor!$G$630-_motor!$B$670)&lt;=_motor!$B$678+0.000000001,ABS(_motor!$H$630-_motor!$B$670)&lt;=_motor!$B$678+0.000000001),"Reguladora",IF(AND(_motor!$G$630&gt;=_motor!$B$670,_motor!$H$630&lt;0.5*_motor!$B$670),"Determinante / entorno",IF(AND(_motor!$G$630&gt;=_motor!$B$670,_motor!$H$630&lt;_motor!$B$670),"Palanca secundaria",IF(AND(_motor!$G$630&gt;=_motor!$B$670,_motor!$H$630&gt;=_motor!$B$670),"Clave / de enlace",IF(AND(_motor!$H$630&gt;=_motor!$B$670,_motor!$G$630&gt;=0.5*_motor!$B$670),"Objetivo",IF(_motor!$H$630&gt;=_motor!$B$670,"Resultado","Autónoma")))))))</f>
        <v/>
      </c>
    </row>
    <row r="51" spans="1:10" x14ac:dyDescent="0.2">
      <c r="A51" s="6" t="str">
        <f>IF(_motor!$B$631=0,"",'02 · Variables'!$B$52)</f>
        <v/>
      </c>
      <c r="B51" s="2" t="str">
        <f>IF(_motor!$B$631=0,"",'02 · Variables'!$C$52)</f>
        <v/>
      </c>
      <c r="C51" s="9" t="str">
        <f>IF(_motor!$B$631=0,"",_motor!$G$631)</f>
        <v/>
      </c>
      <c r="D51" s="9" t="str">
        <f>IF(_motor!$B$631=0,"",_motor!$H$631)</f>
        <v/>
      </c>
      <c r="E51" s="8" t="str">
        <f>IF(OR(_motor!$B$631=0,_motor!$B$674=0),"",_motor!$G$631/_motor!$B$674)</f>
        <v/>
      </c>
      <c r="F51" s="8" t="str">
        <f>IF(OR(_motor!$B$631=0,_motor!$B$674=0),"",_motor!$H$631/_motor!$B$674)</f>
        <v/>
      </c>
      <c r="G51" s="7" t="str">
        <f>IF(_motor!$B$631=0,"",SUMPRODUCT(_motor!$B$586:$B$665*(_motor!$G$586:$G$665&gt;_motor!$G$631))+(SUMPRODUCT(_motor!$B$586:$B$665*(_motor!$G$586:$G$665=_motor!$G$631))+1)/2)</f>
        <v/>
      </c>
      <c r="H51" s="7" t="str">
        <f>IF(_motor!$B$631=0,"",SUMPRODUCT(_motor!$B$586:$B$665*(_motor!$H$586:$H$665&gt;_motor!$H$631))+(SUMPRODUCT(_motor!$B$586:$B$665*(_motor!$H$586:$H$665=_motor!$H$631))+1)/2)</f>
        <v/>
      </c>
      <c r="I51" s="2" t="str">
        <f>IF(_motor!$B$631=0,"",IF(AND(ABS(_motor!$G$631-_motor!$B$670)&lt;=_motor!$B$678+0.000000001,ABS(_motor!$H$631-_motor!$B$670)&lt;=_motor!$B$678+0.000000001),"5 · Pelotón (no concluyente)",IF(AND(_motor!$G$631&gt;=_motor!$B$670,_motor!$H$631&lt;_motor!$B$670),"1 · Entrada / determinante",IF(AND(_motor!$G$631&gt;=_motor!$B$670,_motor!$H$631&gt;=_motor!$B$670),"2 · Intermedia / de enlace",IF(AND(_motor!$G$631&lt;_motor!$B$670,_motor!$H$631&gt;=_motor!$B$670),"3 · Resultado","4 · Excluida / autónoma")))))</f>
        <v/>
      </c>
      <c r="J51" s="2" t="str">
        <f>IF(_motor!$B$631=0,"",IF(AND(ABS(_motor!$G$631-_motor!$B$670)&lt;=_motor!$B$678+0.000000001,ABS(_motor!$H$631-_motor!$B$670)&lt;=_motor!$B$678+0.000000001),"Reguladora",IF(AND(_motor!$G$631&gt;=_motor!$B$670,_motor!$H$631&lt;0.5*_motor!$B$670),"Determinante / entorno",IF(AND(_motor!$G$631&gt;=_motor!$B$670,_motor!$H$631&lt;_motor!$B$670),"Palanca secundaria",IF(AND(_motor!$G$631&gt;=_motor!$B$670,_motor!$H$631&gt;=_motor!$B$670),"Clave / de enlace",IF(AND(_motor!$H$631&gt;=_motor!$B$670,_motor!$G$631&gt;=0.5*_motor!$B$670),"Objetivo",IF(_motor!$H$631&gt;=_motor!$B$670,"Resultado","Autónoma")))))))</f>
        <v/>
      </c>
    </row>
    <row r="52" spans="1:10" x14ac:dyDescent="0.2">
      <c r="A52" s="6" t="str">
        <f>IF(_motor!$B$632=0,"",'02 · Variables'!$B$53)</f>
        <v/>
      </c>
      <c r="B52" s="2" t="str">
        <f>IF(_motor!$B$632=0,"",'02 · Variables'!$C$53)</f>
        <v/>
      </c>
      <c r="C52" s="9" t="str">
        <f>IF(_motor!$B$632=0,"",_motor!$G$632)</f>
        <v/>
      </c>
      <c r="D52" s="9" t="str">
        <f>IF(_motor!$B$632=0,"",_motor!$H$632)</f>
        <v/>
      </c>
      <c r="E52" s="8" t="str">
        <f>IF(OR(_motor!$B$632=0,_motor!$B$674=0),"",_motor!$G$632/_motor!$B$674)</f>
        <v/>
      </c>
      <c r="F52" s="8" t="str">
        <f>IF(OR(_motor!$B$632=0,_motor!$B$674=0),"",_motor!$H$632/_motor!$B$674)</f>
        <v/>
      </c>
      <c r="G52" s="7" t="str">
        <f>IF(_motor!$B$632=0,"",SUMPRODUCT(_motor!$B$586:$B$665*(_motor!$G$586:$G$665&gt;_motor!$G$632))+(SUMPRODUCT(_motor!$B$586:$B$665*(_motor!$G$586:$G$665=_motor!$G$632))+1)/2)</f>
        <v/>
      </c>
      <c r="H52" s="7" t="str">
        <f>IF(_motor!$B$632=0,"",SUMPRODUCT(_motor!$B$586:$B$665*(_motor!$H$586:$H$665&gt;_motor!$H$632))+(SUMPRODUCT(_motor!$B$586:$B$665*(_motor!$H$586:$H$665=_motor!$H$632))+1)/2)</f>
        <v/>
      </c>
      <c r="I52" s="2" t="str">
        <f>IF(_motor!$B$632=0,"",IF(AND(ABS(_motor!$G$632-_motor!$B$670)&lt;=_motor!$B$678+0.000000001,ABS(_motor!$H$632-_motor!$B$670)&lt;=_motor!$B$678+0.000000001),"5 · Pelotón (no concluyente)",IF(AND(_motor!$G$632&gt;=_motor!$B$670,_motor!$H$632&lt;_motor!$B$670),"1 · Entrada / determinante",IF(AND(_motor!$G$632&gt;=_motor!$B$670,_motor!$H$632&gt;=_motor!$B$670),"2 · Intermedia / de enlace",IF(AND(_motor!$G$632&lt;_motor!$B$670,_motor!$H$632&gt;=_motor!$B$670),"3 · Resultado","4 · Excluida / autónoma")))))</f>
        <v/>
      </c>
      <c r="J52" s="2" t="str">
        <f>IF(_motor!$B$632=0,"",IF(AND(ABS(_motor!$G$632-_motor!$B$670)&lt;=_motor!$B$678+0.000000001,ABS(_motor!$H$632-_motor!$B$670)&lt;=_motor!$B$678+0.000000001),"Reguladora",IF(AND(_motor!$G$632&gt;=_motor!$B$670,_motor!$H$632&lt;0.5*_motor!$B$670),"Determinante / entorno",IF(AND(_motor!$G$632&gt;=_motor!$B$670,_motor!$H$632&lt;_motor!$B$670),"Palanca secundaria",IF(AND(_motor!$G$632&gt;=_motor!$B$670,_motor!$H$632&gt;=_motor!$B$670),"Clave / de enlace",IF(AND(_motor!$H$632&gt;=_motor!$B$670,_motor!$G$632&gt;=0.5*_motor!$B$670),"Objetivo",IF(_motor!$H$632&gt;=_motor!$B$670,"Resultado","Autónoma")))))))</f>
        <v/>
      </c>
    </row>
    <row r="53" spans="1:10" x14ac:dyDescent="0.2">
      <c r="A53" s="6" t="str">
        <f>IF(_motor!$B$633=0,"",'02 · Variables'!$B$54)</f>
        <v/>
      </c>
      <c r="B53" s="2" t="str">
        <f>IF(_motor!$B$633=0,"",'02 · Variables'!$C$54)</f>
        <v/>
      </c>
      <c r="C53" s="9" t="str">
        <f>IF(_motor!$B$633=0,"",_motor!$G$633)</f>
        <v/>
      </c>
      <c r="D53" s="9" t="str">
        <f>IF(_motor!$B$633=0,"",_motor!$H$633)</f>
        <v/>
      </c>
      <c r="E53" s="8" t="str">
        <f>IF(OR(_motor!$B$633=0,_motor!$B$674=0),"",_motor!$G$633/_motor!$B$674)</f>
        <v/>
      </c>
      <c r="F53" s="8" t="str">
        <f>IF(OR(_motor!$B$633=0,_motor!$B$674=0),"",_motor!$H$633/_motor!$B$674)</f>
        <v/>
      </c>
      <c r="G53" s="7" t="str">
        <f>IF(_motor!$B$633=0,"",SUMPRODUCT(_motor!$B$586:$B$665*(_motor!$G$586:$G$665&gt;_motor!$G$633))+(SUMPRODUCT(_motor!$B$586:$B$665*(_motor!$G$586:$G$665=_motor!$G$633))+1)/2)</f>
        <v/>
      </c>
      <c r="H53" s="7" t="str">
        <f>IF(_motor!$B$633=0,"",SUMPRODUCT(_motor!$B$586:$B$665*(_motor!$H$586:$H$665&gt;_motor!$H$633))+(SUMPRODUCT(_motor!$B$586:$B$665*(_motor!$H$586:$H$665=_motor!$H$633))+1)/2)</f>
        <v/>
      </c>
      <c r="I53" s="2" t="str">
        <f>IF(_motor!$B$633=0,"",IF(AND(ABS(_motor!$G$633-_motor!$B$670)&lt;=_motor!$B$678+0.000000001,ABS(_motor!$H$633-_motor!$B$670)&lt;=_motor!$B$678+0.000000001),"5 · Pelotón (no concluyente)",IF(AND(_motor!$G$633&gt;=_motor!$B$670,_motor!$H$633&lt;_motor!$B$670),"1 · Entrada / determinante",IF(AND(_motor!$G$633&gt;=_motor!$B$670,_motor!$H$633&gt;=_motor!$B$670),"2 · Intermedia / de enlace",IF(AND(_motor!$G$633&lt;_motor!$B$670,_motor!$H$633&gt;=_motor!$B$670),"3 · Resultado","4 · Excluida / autónoma")))))</f>
        <v/>
      </c>
      <c r="J53" s="2" t="str">
        <f>IF(_motor!$B$633=0,"",IF(AND(ABS(_motor!$G$633-_motor!$B$670)&lt;=_motor!$B$678+0.000000001,ABS(_motor!$H$633-_motor!$B$670)&lt;=_motor!$B$678+0.000000001),"Reguladora",IF(AND(_motor!$G$633&gt;=_motor!$B$670,_motor!$H$633&lt;0.5*_motor!$B$670),"Determinante / entorno",IF(AND(_motor!$G$633&gt;=_motor!$B$670,_motor!$H$633&lt;_motor!$B$670),"Palanca secundaria",IF(AND(_motor!$G$633&gt;=_motor!$B$670,_motor!$H$633&gt;=_motor!$B$670),"Clave / de enlace",IF(AND(_motor!$H$633&gt;=_motor!$B$670,_motor!$G$633&gt;=0.5*_motor!$B$670),"Objetivo",IF(_motor!$H$633&gt;=_motor!$B$670,"Resultado","Autónoma")))))))</f>
        <v/>
      </c>
    </row>
    <row r="54" spans="1:10" x14ac:dyDescent="0.2">
      <c r="A54" s="6" t="str">
        <f>IF(_motor!$B$634=0,"",'02 · Variables'!$B$55)</f>
        <v/>
      </c>
      <c r="B54" s="2" t="str">
        <f>IF(_motor!$B$634=0,"",'02 · Variables'!$C$55)</f>
        <v/>
      </c>
      <c r="C54" s="9" t="str">
        <f>IF(_motor!$B$634=0,"",_motor!$G$634)</f>
        <v/>
      </c>
      <c r="D54" s="9" t="str">
        <f>IF(_motor!$B$634=0,"",_motor!$H$634)</f>
        <v/>
      </c>
      <c r="E54" s="8" t="str">
        <f>IF(OR(_motor!$B$634=0,_motor!$B$674=0),"",_motor!$G$634/_motor!$B$674)</f>
        <v/>
      </c>
      <c r="F54" s="8" t="str">
        <f>IF(OR(_motor!$B$634=0,_motor!$B$674=0),"",_motor!$H$634/_motor!$B$674)</f>
        <v/>
      </c>
      <c r="G54" s="7" t="str">
        <f>IF(_motor!$B$634=0,"",SUMPRODUCT(_motor!$B$586:$B$665*(_motor!$G$586:$G$665&gt;_motor!$G$634))+(SUMPRODUCT(_motor!$B$586:$B$665*(_motor!$G$586:$G$665=_motor!$G$634))+1)/2)</f>
        <v/>
      </c>
      <c r="H54" s="7" t="str">
        <f>IF(_motor!$B$634=0,"",SUMPRODUCT(_motor!$B$586:$B$665*(_motor!$H$586:$H$665&gt;_motor!$H$634))+(SUMPRODUCT(_motor!$B$586:$B$665*(_motor!$H$586:$H$665=_motor!$H$634))+1)/2)</f>
        <v/>
      </c>
      <c r="I54" s="2" t="str">
        <f>IF(_motor!$B$634=0,"",IF(AND(ABS(_motor!$G$634-_motor!$B$670)&lt;=_motor!$B$678+0.000000001,ABS(_motor!$H$634-_motor!$B$670)&lt;=_motor!$B$678+0.000000001),"5 · Pelotón (no concluyente)",IF(AND(_motor!$G$634&gt;=_motor!$B$670,_motor!$H$634&lt;_motor!$B$670),"1 · Entrada / determinante",IF(AND(_motor!$G$634&gt;=_motor!$B$670,_motor!$H$634&gt;=_motor!$B$670),"2 · Intermedia / de enlace",IF(AND(_motor!$G$634&lt;_motor!$B$670,_motor!$H$634&gt;=_motor!$B$670),"3 · Resultado","4 · Excluida / autónoma")))))</f>
        <v/>
      </c>
      <c r="J54" s="2" t="str">
        <f>IF(_motor!$B$634=0,"",IF(AND(ABS(_motor!$G$634-_motor!$B$670)&lt;=_motor!$B$678+0.000000001,ABS(_motor!$H$634-_motor!$B$670)&lt;=_motor!$B$678+0.000000001),"Reguladora",IF(AND(_motor!$G$634&gt;=_motor!$B$670,_motor!$H$634&lt;0.5*_motor!$B$670),"Determinante / entorno",IF(AND(_motor!$G$634&gt;=_motor!$B$670,_motor!$H$634&lt;_motor!$B$670),"Palanca secundaria",IF(AND(_motor!$G$634&gt;=_motor!$B$670,_motor!$H$634&gt;=_motor!$B$670),"Clave / de enlace",IF(AND(_motor!$H$634&gt;=_motor!$B$670,_motor!$G$634&gt;=0.5*_motor!$B$670),"Objetivo",IF(_motor!$H$634&gt;=_motor!$B$670,"Resultado","Autónoma")))))))</f>
        <v/>
      </c>
    </row>
    <row r="55" spans="1:10" x14ac:dyDescent="0.2">
      <c r="A55" s="6" t="str">
        <f>IF(_motor!$B$635=0,"",'02 · Variables'!$B$56)</f>
        <v/>
      </c>
      <c r="B55" s="2" t="str">
        <f>IF(_motor!$B$635=0,"",'02 · Variables'!$C$56)</f>
        <v/>
      </c>
      <c r="C55" s="9" t="str">
        <f>IF(_motor!$B$635=0,"",_motor!$G$635)</f>
        <v/>
      </c>
      <c r="D55" s="9" t="str">
        <f>IF(_motor!$B$635=0,"",_motor!$H$635)</f>
        <v/>
      </c>
      <c r="E55" s="8" t="str">
        <f>IF(OR(_motor!$B$635=0,_motor!$B$674=0),"",_motor!$G$635/_motor!$B$674)</f>
        <v/>
      </c>
      <c r="F55" s="8" t="str">
        <f>IF(OR(_motor!$B$635=0,_motor!$B$674=0),"",_motor!$H$635/_motor!$B$674)</f>
        <v/>
      </c>
      <c r="G55" s="7" t="str">
        <f>IF(_motor!$B$635=0,"",SUMPRODUCT(_motor!$B$586:$B$665*(_motor!$G$586:$G$665&gt;_motor!$G$635))+(SUMPRODUCT(_motor!$B$586:$B$665*(_motor!$G$586:$G$665=_motor!$G$635))+1)/2)</f>
        <v/>
      </c>
      <c r="H55" s="7" t="str">
        <f>IF(_motor!$B$635=0,"",SUMPRODUCT(_motor!$B$586:$B$665*(_motor!$H$586:$H$665&gt;_motor!$H$635))+(SUMPRODUCT(_motor!$B$586:$B$665*(_motor!$H$586:$H$665=_motor!$H$635))+1)/2)</f>
        <v/>
      </c>
      <c r="I55" s="2" t="str">
        <f>IF(_motor!$B$635=0,"",IF(AND(ABS(_motor!$G$635-_motor!$B$670)&lt;=_motor!$B$678+0.000000001,ABS(_motor!$H$635-_motor!$B$670)&lt;=_motor!$B$678+0.000000001),"5 · Pelotón (no concluyente)",IF(AND(_motor!$G$635&gt;=_motor!$B$670,_motor!$H$635&lt;_motor!$B$670),"1 · Entrada / determinante",IF(AND(_motor!$G$635&gt;=_motor!$B$670,_motor!$H$635&gt;=_motor!$B$670),"2 · Intermedia / de enlace",IF(AND(_motor!$G$635&lt;_motor!$B$670,_motor!$H$635&gt;=_motor!$B$670),"3 · Resultado","4 · Excluida / autónoma")))))</f>
        <v/>
      </c>
      <c r="J55" s="2" t="str">
        <f>IF(_motor!$B$635=0,"",IF(AND(ABS(_motor!$G$635-_motor!$B$670)&lt;=_motor!$B$678+0.000000001,ABS(_motor!$H$635-_motor!$B$670)&lt;=_motor!$B$678+0.000000001),"Reguladora",IF(AND(_motor!$G$635&gt;=_motor!$B$670,_motor!$H$635&lt;0.5*_motor!$B$670),"Determinante / entorno",IF(AND(_motor!$G$635&gt;=_motor!$B$670,_motor!$H$635&lt;_motor!$B$670),"Palanca secundaria",IF(AND(_motor!$G$635&gt;=_motor!$B$670,_motor!$H$635&gt;=_motor!$B$670),"Clave / de enlace",IF(AND(_motor!$H$635&gt;=_motor!$B$670,_motor!$G$635&gt;=0.5*_motor!$B$670),"Objetivo",IF(_motor!$H$635&gt;=_motor!$B$670,"Resultado","Autónoma")))))))</f>
        <v/>
      </c>
    </row>
    <row r="56" spans="1:10" x14ac:dyDescent="0.2">
      <c r="A56" s="6" t="str">
        <f>IF(_motor!$B$636=0,"",'02 · Variables'!$B$57)</f>
        <v/>
      </c>
      <c r="B56" s="2" t="str">
        <f>IF(_motor!$B$636=0,"",'02 · Variables'!$C$57)</f>
        <v/>
      </c>
      <c r="C56" s="9" t="str">
        <f>IF(_motor!$B$636=0,"",_motor!$G$636)</f>
        <v/>
      </c>
      <c r="D56" s="9" t="str">
        <f>IF(_motor!$B$636=0,"",_motor!$H$636)</f>
        <v/>
      </c>
      <c r="E56" s="8" t="str">
        <f>IF(OR(_motor!$B$636=0,_motor!$B$674=0),"",_motor!$G$636/_motor!$B$674)</f>
        <v/>
      </c>
      <c r="F56" s="8" t="str">
        <f>IF(OR(_motor!$B$636=0,_motor!$B$674=0),"",_motor!$H$636/_motor!$B$674)</f>
        <v/>
      </c>
      <c r="G56" s="7" t="str">
        <f>IF(_motor!$B$636=0,"",SUMPRODUCT(_motor!$B$586:$B$665*(_motor!$G$586:$G$665&gt;_motor!$G$636))+(SUMPRODUCT(_motor!$B$586:$B$665*(_motor!$G$586:$G$665=_motor!$G$636))+1)/2)</f>
        <v/>
      </c>
      <c r="H56" s="7" t="str">
        <f>IF(_motor!$B$636=0,"",SUMPRODUCT(_motor!$B$586:$B$665*(_motor!$H$586:$H$665&gt;_motor!$H$636))+(SUMPRODUCT(_motor!$B$586:$B$665*(_motor!$H$586:$H$665=_motor!$H$636))+1)/2)</f>
        <v/>
      </c>
      <c r="I56" s="2" t="str">
        <f>IF(_motor!$B$636=0,"",IF(AND(ABS(_motor!$G$636-_motor!$B$670)&lt;=_motor!$B$678+0.000000001,ABS(_motor!$H$636-_motor!$B$670)&lt;=_motor!$B$678+0.000000001),"5 · Pelotón (no concluyente)",IF(AND(_motor!$G$636&gt;=_motor!$B$670,_motor!$H$636&lt;_motor!$B$670),"1 · Entrada / determinante",IF(AND(_motor!$G$636&gt;=_motor!$B$670,_motor!$H$636&gt;=_motor!$B$670),"2 · Intermedia / de enlace",IF(AND(_motor!$G$636&lt;_motor!$B$670,_motor!$H$636&gt;=_motor!$B$670),"3 · Resultado","4 · Excluida / autónoma")))))</f>
        <v/>
      </c>
      <c r="J56" s="2" t="str">
        <f>IF(_motor!$B$636=0,"",IF(AND(ABS(_motor!$G$636-_motor!$B$670)&lt;=_motor!$B$678+0.000000001,ABS(_motor!$H$636-_motor!$B$670)&lt;=_motor!$B$678+0.000000001),"Reguladora",IF(AND(_motor!$G$636&gt;=_motor!$B$670,_motor!$H$636&lt;0.5*_motor!$B$670),"Determinante / entorno",IF(AND(_motor!$G$636&gt;=_motor!$B$670,_motor!$H$636&lt;_motor!$B$670),"Palanca secundaria",IF(AND(_motor!$G$636&gt;=_motor!$B$670,_motor!$H$636&gt;=_motor!$B$670),"Clave / de enlace",IF(AND(_motor!$H$636&gt;=_motor!$B$670,_motor!$G$636&gt;=0.5*_motor!$B$670),"Objetivo",IF(_motor!$H$636&gt;=_motor!$B$670,"Resultado","Autónoma")))))))</f>
        <v/>
      </c>
    </row>
    <row r="57" spans="1:10" x14ac:dyDescent="0.2">
      <c r="A57" s="6" t="str">
        <f>IF(_motor!$B$637=0,"",'02 · Variables'!$B$58)</f>
        <v/>
      </c>
      <c r="B57" s="2" t="str">
        <f>IF(_motor!$B$637=0,"",'02 · Variables'!$C$58)</f>
        <v/>
      </c>
      <c r="C57" s="9" t="str">
        <f>IF(_motor!$B$637=0,"",_motor!$G$637)</f>
        <v/>
      </c>
      <c r="D57" s="9" t="str">
        <f>IF(_motor!$B$637=0,"",_motor!$H$637)</f>
        <v/>
      </c>
      <c r="E57" s="8" t="str">
        <f>IF(OR(_motor!$B$637=0,_motor!$B$674=0),"",_motor!$G$637/_motor!$B$674)</f>
        <v/>
      </c>
      <c r="F57" s="8" t="str">
        <f>IF(OR(_motor!$B$637=0,_motor!$B$674=0),"",_motor!$H$637/_motor!$B$674)</f>
        <v/>
      </c>
      <c r="G57" s="7" t="str">
        <f>IF(_motor!$B$637=0,"",SUMPRODUCT(_motor!$B$586:$B$665*(_motor!$G$586:$G$665&gt;_motor!$G$637))+(SUMPRODUCT(_motor!$B$586:$B$665*(_motor!$G$586:$G$665=_motor!$G$637))+1)/2)</f>
        <v/>
      </c>
      <c r="H57" s="7" t="str">
        <f>IF(_motor!$B$637=0,"",SUMPRODUCT(_motor!$B$586:$B$665*(_motor!$H$586:$H$665&gt;_motor!$H$637))+(SUMPRODUCT(_motor!$B$586:$B$665*(_motor!$H$586:$H$665=_motor!$H$637))+1)/2)</f>
        <v/>
      </c>
      <c r="I57" s="2" t="str">
        <f>IF(_motor!$B$637=0,"",IF(AND(ABS(_motor!$G$637-_motor!$B$670)&lt;=_motor!$B$678+0.000000001,ABS(_motor!$H$637-_motor!$B$670)&lt;=_motor!$B$678+0.000000001),"5 · Pelotón (no concluyente)",IF(AND(_motor!$G$637&gt;=_motor!$B$670,_motor!$H$637&lt;_motor!$B$670),"1 · Entrada / determinante",IF(AND(_motor!$G$637&gt;=_motor!$B$670,_motor!$H$637&gt;=_motor!$B$670),"2 · Intermedia / de enlace",IF(AND(_motor!$G$637&lt;_motor!$B$670,_motor!$H$637&gt;=_motor!$B$670),"3 · Resultado","4 · Excluida / autónoma")))))</f>
        <v/>
      </c>
      <c r="J57" s="2" t="str">
        <f>IF(_motor!$B$637=0,"",IF(AND(ABS(_motor!$G$637-_motor!$B$670)&lt;=_motor!$B$678+0.000000001,ABS(_motor!$H$637-_motor!$B$670)&lt;=_motor!$B$678+0.000000001),"Reguladora",IF(AND(_motor!$G$637&gt;=_motor!$B$670,_motor!$H$637&lt;0.5*_motor!$B$670),"Determinante / entorno",IF(AND(_motor!$G$637&gt;=_motor!$B$670,_motor!$H$637&lt;_motor!$B$670),"Palanca secundaria",IF(AND(_motor!$G$637&gt;=_motor!$B$670,_motor!$H$637&gt;=_motor!$B$670),"Clave / de enlace",IF(AND(_motor!$H$637&gt;=_motor!$B$670,_motor!$G$637&gt;=0.5*_motor!$B$670),"Objetivo",IF(_motor!$H$637&gt;=_motor!$B$670,"Resultado","Autónoma")))))))</f>
        <v/>
      </c>
    </row>
    <row r="58" spans="1:10" x14ac:dyDescent="0.2">
      <c r="A58" s="6" t="str">
        <f>IF(_motor!$B$638=0,"",'02 · Variables'!$B$59)</f>
        <v/>
      </c>
      <c r="B58" s="2" t="str">
        <f>IF(_motor!$B$638=0,"",'02 · Variables'!$C$59)</f>
        <v/>
      </c>
      <c r="C58" s="9" t="str">
        <f>IF(_motor!$B$638=0,"",_motor!$G$638)</f>
        <v/>
      </c>
      <c r="D58" s="9" t="str">
        <f>IF(_motor!$B$638=0,"",_motor!$H$638)</f>
        <v/>
      </c>
      <c r="E58" s="8" t="str">
        <f>IF(OR(_motor!$B$638=0,_motor!$B$674=0),"",_motor!$G$638/_motor!$B$674)</f>
        <v/>
      </c>
      <c r="F58" s="8" t="str">
        <f>IF(OR(_motor!$B$638=0,_motor!$B$674=0),"",_motor!$H$638/_motor!$B$674)</f>
        <v/>
      </c>
      <c r="G58" s="7" t="str">
        <f>IF(_motor!$B$638=0,"",SUMPRODUCT(_motor!$B$586:$B$665*(_motor!$G$586:$G$665&gt;_motor!$G$638))+(SUMPRODUCT(_motor!$B$586:$B$665*(_motor!$G$586:$G$665=_motor!$G$638))+1)/2)</f>
        <v/>
      </c>
      <c r="H58" s="7" t="str">
        <f>IF(_motor!$B$638=0,"",SUMPRODUCT(_motor!$B$586:$B$665*(_motor!$H$586:$H$665&gt;_motor!$H$638))+(SUMPRODUCT(_motor!$B$586:$B$665*(_motor!$H$586:$H$665=_motor!$H$638))+1)/2)</f>
        <v/>
      </c>
      <c r="I58" s="2" t="str">
        <f>IF(_motor!$B$638=0,"",IF(AND(ABS(_motor!$G$638-_motor!$B$670)&lt;=_motor!$B$678+0.000000001,ABS(_motor!$H$638-_motor!$B$670)&lt;=_motor!$B$678+0.000000001),"5 · Pelotón (no concluyente)",IF(AND(_motor!$G$638&gt;=_motor!$B$670,_motor!$H$638&lt;_motor!$B$670),"1 · Entrada / determinante",IF(AND(_motor!$G$638&gt;=_motor!$B$670,_motor!$H$638&gt;=_motor!$B$670),"2 · Intermedia / de enlace",IF(AND(_motor!$G$638&lt;_motor!$B$670,_motor!$H$638&gt;=_motor!$B$670),"3 · Resultado","4 · Excluida / autónoma")))))</f>
        <v/>
      </c>
      <c r="J58" s="2" t="str">
        <f>IF(_motor!$B$638=0,"",IF(AND(ABS(_motor!$G$638-_motor!$B$670)&lt;=_motor!$B$678+0.000000001,ABS(_motor!$H$638-_motor!$B$670)&lt;=_motor!$B$678+0.000000001),"Reguladora",IF(AND(_motor!$G$638&gt;=_motor!$B$670,_motor!$H$638&lt;0.5*_motor!$B$670),"Determinante / entorno",IF(AND(_motor!$G$638&gt;=_motor!$B$670,_motor!$H$638&lt;_motor!$B$670),"Palanca secundaria",IF(AND(_motor!$G$638&gt;=_motor!$B$670,_motor!$H$638&gt;=_motor!$B$670),"Clave / de enlace",IF(AND(_motor!$H$638&gt;=_motor!$B$670,_motor!$G$638&gt;=0.5*_motor!$B$670),"Objetivo",IF(_motor!$H$638&gt;=_motor!$B$670,"Resultado","Autónoma")))))))</f>
        <v/>
      </c>
    </row>
    <row r="59" spans="1:10" x14ac:dyDescent="0.2">
      <c r="A59" s="6" t="str">
        <f>IF(_motor!$B$639=0,"",'02 · Variables'!$B$60)</f>
        <v/>
      </c>
      <c r="B59" s="2" t="str">
        <f>IF(_motor!$B$639=0,"",'02 · Variables'!$C$60)</f>
        <v/>
      </c>
      <c r="C59" s="9" t="str">
        <f>IF(_motor!$B$639=0,"",_motor!$G$639)</f>
        <v/>
      </c>
      <c r="D59" s="9" t="str">
        <f>IF(_motor!$B$639=0,"",_motor!$H$639)</f>
        <v/>
      </c>
      <c r="E59" s="8" t="str">
        <f>IF(OR(_motor!$B$639=0,_motor!$B$674=0),"",_motor!$G$639/_motor!$B$674)</f>
        <v/>
      </c>
      <c r="F59" s="8" t="str">
        <f>IF(OR(_motor!$B$639=0,_motor!$B$674=0),"",_motor!$H$639/_motor!$B$674)</f>
        <v/>
      </c>
      <c r="G59" s="7" t="str">
        <f>IF(_motor!$B$639=0,"",SUMPRODUCT(_motor!$B$586:$B$665*(_motor!$G$586:$G$665&gt;_motor!$G$639))+(SUMPRODUCT(_motor!$B$586:$B$665*(_motor!$G$586:$G$665=_motor!$G$639))+1)/2)</f>
        <v/>
      </c>
      <c r="H59" s="7" t="str">
        <f>IF(_motor!$B$639=0,"",SUMPRODUCT(_motor!$B$586:$B$665*(_motor!$H$586:$H$665&gt;_motor!$H$639))+(SUMPRODUCT(_motor!$B$586:$B$665*(_motor!$H$586:$H$665=_motor!$H$639))+1)/2)</f>
        <v/>
      </c>
      <c r="I59" s="2" t="str">
        <f>IF(_motor!$B$639=0,"",IF(AND(ABS(_motor!$G$639-_motor!$B$670)&lt;=_motor!$B$678+0.000000001,ABS(_motor!$H$639-_motor!$B$670)&lt;=_motor!$B$678+0.000000001),"5 · Pelotón (no concluyente)",IF(AND(_motor!$G$639&gt;=_motor!$B$670,_motor!$H$639&lt;_motor!$B$670),"1 · Entrada / determinante",IF(AND(_motor!$G$639&gt;=_motor!$B$670,_motor!$H$639&gt;=_motor!$B$670),"2 · Intermedia / de enlace",IF(AND(_motor!$G$639&lt;_motor!$B$670,_motor!$H$639&gt;=_motor!$B$670),"3 · Resultado","4 · Excluida / autónoma")))))</f>
        <v/>
      </c>
      <c r="J59" s="2" t="str">
        <f>IF(_motor!$B$639=0,"",IF(AND(ABS(_motor!$G$639-_motor!$B$670)&lt;=_motor!$B$678+0.000000001,ABS(_motor!$H$639-_motor!$B$670)&lt;=_motor!$B$678+0.000000001),"Reguladora",IF(AND(_motor!$G$639&gt;=_motor!$B$670,_motor!$H$639&lt;0.5*_motor!$B$670),"Determinante / entorno",IF(AND(_motor!$G$639&gt;=_motor!$B$670,_motor!$H$639&lt;_motor!$B$670),"Palanca secundaria",IF(AND(_motor!$G$639&gt;=_motor!$B$670,_motor!$H$639&gt;=_motor!$B$670),"Clave / de enlace",IF(AND(_motor!$H$639&gt;=_motor!$B$670,_motor!$G$639&gt;=0.5*_motor!$B$670),"Objetivo",IF(_motor!$H$639&gt;=_motor!$B$670,"Resultado","Autónoma")))))))</f>
        <v/>
      </c>
    </row>
    <row r="60" spans="1:10" x14ac:dyDescent="0.2">
      <c r="A60" s="6" t="str">
        <f>IF(_motor!$B$640=0,"",'02 · Variables'!$B$61)</f>
        <v/>
      </c>
      <c r="B60" s="2" t="str">
        <f>IF(_motor!$B$640=0,"",'02 · Variables'!$C$61)</f>
        <v/>
      </c>
      <c r="C60" s="9" t="str">
        <f>IF(_motor!$B$640=0,"",_motor!$G$640)</f>
        <v/>
      </c>
      <c r="D60" s="9" t="str">
        <f>IF(_motor!$B$640=0,"",_motor!$H$640)</f>
        <v/>
      </c>
      <c r="E60" s="8" t="str">
        <f>IF(OR(_motor!$B$640=0,_motor!$B$674=0),"",_motor!$G$640/_motor!$B$674)</f>
        <v/>
      </c>
      <c r="F60" s="8" t="str">
        <f>IF(OR(_motor!$B$640=0,_motor!$B$674=0),"",_motor!$H$640/_motor!$B$674)</f>
        <v/>
      </c>
      <c r="G60" s="7" t="str">
        <f>IF(_motor!$B$640=0,"",SUMPRODUCT(_motor!$B$586:$B$665*(_motor!$G$586:$G$665&gt;_motor!$G$640))+(SUMPRODUCT(_motor!$B$586:$B$665*(_motor!$G$586:$G$665=_motor!$G$640))+1)/2)</f>
        <v/>
      </c>
      <c r="H60" s="7" t="str">
        <f>IF(_motor!$B$640=0,"",SUMPRODUCT(_motor!$B$586:$B$665*(_motor!$H$586:$H$665&gt;_motor!$H$640))+(SUMPRODUCT(_motor!$B$586:$B$665*(_motor!$H$586:$H$665=_motor!$H$640))+1)/2)</f>
        <v/>
      </c>
      <c r="I60" s="2" t="str">
        <f>IF(_motor!$B$640=0,"",IF(AND(ABS(_motor!$G$640-_motor!$B$670)&lt;=_motor!$B$678+0.000000001,ABS(_motor!$H$640-_motor!$B$670)&lt;=_motor!$B$678+0.000000001),"5 · Pelotón (no concluyente)",IF(AND(_motor!$G$640&gt;=_motor!$B$670,_motor!$H$640&lt;_motor!$B$670),"1 · Entrada / determinante",IF(AND(_motor!$G$640&gt;=_motor!$B$670,_motor!$H$640&gt;=_motor!$B$670),"2 · Intermedia / de enlace",IF(AND(_motor!$G$640&lt;_motor!$B$670,_motor!$H$640&gt;=_motor!$B$670),"3 · Resultado","4 · Excluida / autónoma")))))</f>
        <v/>
      </c>
      <c r="J60" s="2" t="str">
        <f>IF(_motor!$B$640=0,"",IF(AND(ABS(_motor!$G$640-_motor!$B$670)&lt;=_motor!$B$678+0.000000001,ABS(_motor!$H$640-_motor!$B$670)&lt;=_motor!$B$678+0.000000001),"Reguladora",IF(AND(_motor!$G$640&gt;=_motor!$B$670,_motor!$H$640&lt;0.5*_motor!$B$670),"Determinante / entorno",IF(AND(_motor!$G$640&gt;=_motor!$B$670,_motor!$H$640&lt;_motor!$B$670),"Palanca secundaria",IF(AND(_motor!$G$640&gt;=_motor!$B$670,_motor!$H$640&gt;=_motor!$B$670),"Clave / de enlace",IF(AND(_motor!$H$640&gt;=_motor!$B$670,_motor!$G$640&gt;=0.5*_motor!$B$670),"Objetivo",IF(_motor!$H$640&gt;=_motor!$B$670,"Resultado","Autónoma")))))))</f>
        <v/>
      </c>
    </row>
    <row r="61" spans="1:10" x14ac:dyDescent="0.2">
      <c r="A61" s="6" t="str">
        <f>IF(_motor!$B$641=0,"",'02 · Variables'!$B$62)</f>
        <v/>
      </c>
      <c r="B61" s="2" t="str">
        <f>IF(_motor!$B$641=0,"",'02 · Variables'!$C$62)</f>
        <v/>
      </c>
      <c r="C61" s="9" t="str">
        <f>IF(_motor!$B$641=0,"",_motor!$G$641)</f>
        <v/>
      </c>
      <c r="D61" s="9" t="str">
        <f>IF(_motor!$B$641=0,"",_motor!$H$641)</f>
        <v/>
      </c>
      <c r="E61" s="8" t="str">
        <f>IF(OR(_motor!$B$641=0,_motor!$B$674=0),"",_motor!$G$641/_motor!$B$674)</f>
        <v/>
      </c>
      <c r="F61" s="8" t="str">
        <f>IF(OR(_motor!$B$641=0,_motor!$B$674=0),"",_motor!$H$641/_motor!$B$674)</f>
        <v/>
      </c>
      <c r="G61" s="7" t="str">
        <f>IF(_motor!$B$641=0,"",SUMPRODUCT(_motor!$B$586:$B$665*(_motor!$G$586:$G$665&gt;_motor!$G$641))+(SUMPRODUCT(_motor!$B$586:$B$665*(_motor!$G$586:$G$665=_motor!$G$641))+1)/2)</f>
        <v/>
      </c>
      <c r="H61" s="7" t="str">
        <f>IF(_motor!$B$641=0,"",SUMPRODUCT(_motor!$B$586:$B$665*(_motor!$H$586:$H$665&gt;_motor!$H$641))+(SUMPRODUCT(_motor!$B$586:$B$665*(_motor!$H$586:$H$665=_motor!$H$641))+1)/2)</f>
        <v/>
      </c>
      <c r="I61" s="2" t="str">
        <f>IF(_motor!$B$641=0,"",IF(AND(ABS(_motor!$G$641-_motor!$B$670)&lt;=_motor!$B$678+0.000000001,ABS(_motor!$H$641-_motor!$B$670)&lt;=_motor!$B$678+0.000000001),"5 · Pelotón (no concluyente)",IF(AND(_motor!$G$641&gt;=_motor!$B$670,_motor!$H$641&lt;_motor!$B$670),"1 · Entrada / determinante",IF(AND(_motor!$G$641&gt;=_motor!$B$670,_motor!$H$641&gt;=_motor!$B$670),"2 · Intermedia / de enlace",IF(AND(_motor!$G$641&lt;_motor!$B$670,_motor!$H$641&gt;=_motor!$B$670),"3 · Resultado","4 · Excluida / autónoma")))))</f>
        <v/>
      </c>
      <c r="J61" s="2" t="str">
        <f>IF(_motor!$B$641=0,"",IF(AND(ABS(_motor!$G$641-_motor!$B$670)&lt;=_motor!$B$678+0.000000001,ABS(_motor!$H$641-_motor!$B$670)&lt;=_motor!$B$678+0.000000001),"Reguladora",IF(AND(_motor!$G$641&gt;=_motor!$B$670,_motor!$H$641&lt;0.5*_motor!$B$670),"Determinante / entorno",IF(AND(_motor!$G$641&gt;=_motor!$B$670,_motor!$H$641&lt;_motor!$B$670),"Palanca secundaria",IF(AND(_motor!$G$641&gt;=_motor!$B$670,_motor!$H$641&gt;=_motor!$B$670),"Clave / de enlace",IF(AND(_motor!$H$641&gt;=_motor!$B$670,_motor!$G$641&gt;=0.5*_motor!$B$670),"Objetivo",IF(_motor!$H$641&gt;=_motor!$B$670,"Resultado","Autónoma")))))))</f>
        <v/>
      </c>
    </row>
    <row r="62" spans="1:10" x14ac:dyDescent="0.2">
      <c r="A62" s="6" t="str">
        <f>IF(_motor!$B$642=0,"",'02 · Variables'!$B$63)</f>
        <v/>
      </c>
      <c r="B62" s="2" t="str">
        <f>IF(_motor!$B$642=0,"",'02 · Variables'!$C$63)</f>
        <v/>
      </c>
      <c r="C62" s="9" t="str">
        <f>IF(_motor!$B$642=0,"",_motor!$G$642)</f>
        <v/>
      </c>
      <c r="D62" s="9" t="str">
        <f>IF(_motor!$B$642=0,"",_motor!$H$642)</f>
        <v/>
      </c>
      <c r="E62" s="8" t="str">
        <f>IF(OR(_motor!$B$642=0,_motor!$B$674=0),"",_motor!$G$642/_motor!$B$674)</f>
        <v/>
      </c>
      <c r="F62" s="8" t="str">
        <f>IF(OR(_motor!$B$642=0,_motor!$B$674=0),"",_motor!$H$642/_motor!$B$674)</f>
        <v/>
      </c>
      <c r="G62" s="7" t="str">
        <f>IF(_motor!$B$642=0,"",SUMPRODUCT(_motor!$B$586:$B$665*(_motor!$G$586:$G$665&gt;_motor!$G$642))+(SUMPRODUCT(_motor!$B$586:$B$665*(_motor!$G$586:$G$665=_motor!$G$642))+1)/2)</f>
        <v/>
      </c>
      <c r="H62" s="7" t="str">
        <f>IF(_motor!$B$642=0,"",SUMPRODUCT(_motor!$B$586:$B$665*(_motor!$H$586:$H$665&gt;_motor!$H$642))+(SUMPRODUCT(_motor!$B$586:$B$665*(_motor!$H$586:$H$665=_motor!$H$642))+1)/2)</f>
        <v/>
      </c>
      <c r="I62" s="2" t="str">
        <f>IF(_motor!$B$642=0,"",IF(AND(ABS(_motor!$G$642-_motor!$B$670)&lt;=_motor!$B$678+0.000000001,ABS(_motor!$H$642-_motor!$B$670)&lt;=_motor!$B$678+0.000000001),"5 · Pelotón (no concluyente)",IF(AND(_motor!$G$642&gt;=_motor!$B$670,_motor!$H$642&lt;_motor!$B$670),"1 · Entrada / determinante",IF(AND(_motor!$G$642&gt;=_motor!$B$670,_motor!$H$642&gt;=_motor!$B$670),"2 · Intermedia / de enlace",IF(AND(_motor!$G$642&lt;_motor!$B$670,_motor!$H$642&gt;=_motor!$B$670),"3 · Resultado","4 · Excluida / autónoma")))))</f>
        <v/>
      </c>
      <c r="J62" s="2" t="str">
        <f>IF(_motor!$B$642=0,"",IF(AND(ABS(_motor!$G$642-_motor!$B$670)&lt;=_motor!$B$678+0.000000001,ABS(_motor!$H$642-_motor!$B$670)&lt;=_motor!$B$678+0.000000001),"Reguladora",IF(AND(_motor!$G$642&gt;=_motor!$B$670,_motor!$H$642&lt;0.5*_motor!$B$670),"Determinante / entorno",IF(AND(_motor!$G$642&gt;=_motor!$B$670,_motor!$H$642&lt;_motor!$B$670),"Palanca secundaria",IF(AND(_motor!$G$642&gt;=_motor!$B$670,_motor!$H$642&gt;=_motor!$B$670),"Clave / de enlace",IF(AND(_motor!$H$642&gt;=_motor!$B$670,_motor!$G$642&gt;=0.5*_motor!$B$670),"Objetivo",IF(_motor!$H$642&gt;=_motor!$B$670,"Resultado","Autónoma")))))))</f>
        <v/>
      </c>
    </row>
    <row r="63" spans="1:10" x14ac:dyDescent="0.2">
      <c r="A63" s="6" t="str">
        <f>IF(_motor!$B$643=0,"",'02 · Variables'!$B$64)</f>
        <v/>
      </c>
      <c r="B63" s="2" t="str">
        <f>IF(_motor!$B$643=0,"",'02 · Variables'!$C$64)</f>
        <v/>
      </c>
      <c r="C63" s="9" t="str">
        <f>IF(_motor!$B$643=0,"",_motor!$G$643)</f>
        <v/>
      </c>
      <c r="D63" s="9" t="str">
        <f>IF(_motor!$B$643=0,"",_motor!$H$643)</f>
        <v/>
      </c>
      <c r="E63" s="8" t="str">
        <f>IF(OR(_motor!$B$643=0,_motor!$B$674=0),"",_motor!$G$643/_motor!$B$674)</f>
        <v/>
      </c>
      <c r="F63" s="8" t="str">
        <f>IF(OR(_motor!$B$643=0,_motor!$B$674=0),"",_motor!$H$643/_motor!$B$674)</f>
        <v/>
      </c>
      <c r="G63" s="7" t="str">
        <f>IF(_motor!$B$643=0,"",SUMPRODUCT(_motor!$B$586:$B$665*(_motor!$G$586:$G$665&gt;_motor!$G$643))+(SUMPRODUCT(_motor!$B$586:$B$665*(_motor!$G$586:$G$665=_motor!$G$643))+1)/2)</f>
        <v/>
      </c>
      <c r="H63" s="7" t="str">
        <f>IF(_motor!$B$643=0,"",SUMPRODUCT(_motor!$B$586:$B$665*(_motor!$H$586:$H$665&gt;_motor!$H$643))+(SUMPRODUCT(_motor!$B$586:$B$665*(_motor!$H$586:$H$665=_motor!$H$643))+1)/2)</f>
        <v/>
      </c>
      <c r="I63" s="2" t="str">
        <f>IF(_motor!$B$643=0,"",IF(AND(ABS(_motor!$G$643-_motor!$B$670)&lt;=_motor!$B$678+0.000000001,ABS(_motor!$H$643-_motor!$B$670)&lt;=_motor!$B$678+0.000000001),"5 · Pelotón (no concluyente)",IF(AND(_motor!$G$643&gt;=_motor!$B$670,_motor!$H$643&lt;_motor!$B$670),"1 · Entrada / determinante",IF(AND(_motor!$G$643&gt;=_motor!$B$670,_motor!$H$643&gt;=_motor!$B$670),"2 · Intermedia / de enlace",IF(AND(_motor!$G$643&lt;_motor!$B$670,_motor!$H$643&gt;=_motor!$B$670),"3 · Resultado","4 · Excluida / autónoma")))))</f>
        <v/>
      </c>
      <c r="J63" s="2" t="str">
        <f>IF(_motor!$B$643=0,"",IF(AND(ABS(_motor!$G$643-_motor!$B$670)&lt;=_motor!$B$678+0.000000001,ABS(_motor!$H$643-_motor!$B$670)&lt;=_motor!$B$678+0.000000001),"Reguladora",IF(AND(_motor!$G$643&gt;=_motor!$B$670,_motor!$H$643&lt;0.5*_motor!$B$670),"Determinante / entorno",IF(AND(_motor!$G$643&gt;=_motor!$B$670,_motor!$H$643&lt;_motor!$B$670),"Palanca secundaria",IF(AND(_motor!$G$643&gt;=_motor!$B$670,_motor!$H$643&gt;=_motor!$B$670),"Clave / de enlace",IF(AND(_motor!$H$643&gt;=_motor!$B$670,_motor!$G$643&gt;=0.5*_motor!$B$670),"Objetivo",IF(_motor!$H$643&gt;=_motor!$B$670,"Resultado","Autónoma")))))))</f>
        <v/>
      </c>
    </row>
    <row r="64" spans="1:10" x14ac:dyDescent="0.2">
      <c r="A64" s="6" t="str">
        <f>IF(_motor!$B$644=0,"",'02 · Variables'!$B$65)</f>
        <v/>
      </c>
      <c r="B64" s="2" t="str">
        <f>IF(_motor!$B$644=0,"",'02 · Variables'!$C$65)</f>
        <v/>
      </c>
      <c r="C64" s="9" t="str">
        <f>IF(_motor!$B$644=0,"",_motor!$G$644)</f>
        <v/>
      </c>
      <c r="D64" s="9" t="str">
        <f>IF(_motor!$B$644=0,"",_motor!$H$644)</f>
        <v/>
      </c>
      <c r="E64" s="8" t="str">
        <f>IF(OR(_motor!$B$644=0,_motor!$B$674=0),"",_motor!$G$644/_motor!$B$674)</f>
        <v/>
      </c>
      <c r="F64" s="8" t="str">
        <f>IF(OR(_motor!$B$644=0,_motor!$B$674=0),"",_motor!$H$644/_motor!$B$674)</f>
        <v/>
      </c>
      <c r="G64" s="7" t="str">
        <f>IF(_motor!$B$644=0,"",SUMPRODUCT(_motor!$B$586:$B$665*(_motor!$G$586:$G$665&gt;_motor!$G$644))+(SUMPRODUCT(_motor!$B$586:$B$665*(_motor!$G$586:$G$665=_motor!$G$644))+1)/2)</f>
        <v/>
      </c>
      <c r="H64" s="7" t="str">
        <f>IF(_motor!$B$644=0,"",SUMPRODUCT(_motor!$B$586:$B$665*(_motor!$H$586:$H$665&gt;_motor!$H$644))+(SUMPRODUCT(_motor!$B$586:$B$665*(_motor!$H$586:$H$665=_motor!$H$644))+1)/2)</f>
        <v/>
      </c>
      <c r="I64" s="2" t="str">
        <f>IF(_motor!$B$644=0,"",IF(AND(ABS(_motor!$G$644-_motor!$B$670)&lt;=_motor!$B$678+0.000000001,ABS(_motor!$H$644-_motor!$B$670)&lt;=_motor!$B$678+0.000000001),"5 · Pelotón (no concluyente)",IF(AND(_motor!$G$644&gt;=_motor!$B$670,_motor!$H$644&lt;_motor!$B$670),"1 · Entrada / determinante",IF(AND(_motor!$G$644&gt;=_motor!$B$670,_motor!$H$644&gt;=_motor!$B$670),"2 · Intermedia / de enlace",IF(AND(_motor!$G$644&lt;_motor!$B$670,_motor!$H$644&gt;=_motor!$B$670),"3 · Resultado","4 · Excluida / autónoma")))))</f>
        <v/>
      </c>
      <c r="J64" s="2" t="str">
        <f>IF(_motor!$B$644=0,"",IF(AND(ABS(_motor!$G$644-_motor!$B$670)&lt;=_motor!$B$678+0.000000001,ABS(_motor!$H$644-_motor!$B$670)&lt;=_motor!$B$678+0.000000001),"Reguladora",IF(AND(_motor!$G$644&gt;=_motor!$B$670,_motor!$H$644&lt;0.5*_motor!$B$670),"Determinante / entorno",IF(AND(_motor!$G$644&gt;=_motor!$B$670,_motor!$H$644&lt;_motor!$B$670),"Palanca secundaria",IF(AND(_motor!$G$644&gt;=_motor!$B$670,_motor!$H$644&gt;=_motor!$B$670),"Clave / de enlace",IF(AND(_motor!$H$644&gt;=_motor!$B$670,_motor!$G$644&gt;=0.5*_motor!$B$670),"Objetivo",IF(_motor!$H$644&gt;=_motor!$B$670,"Resultado","Autónoma")))))))</f>
        <v/>
      </c>
    </row>
    <row r="65" spans="1:10" x14ac:dyDescent="0.2">
      <c r="A65" s="6" t="str">
        <f>IF(_motor!$B$645=0,"",'02 · Variables'!$B$66)</f>
        <v/>
      </c>
      <c r="B65" s="2" t="str">
        <f>IF(_motor!$B$645=0,"",'02 · Variables'!$C$66)</f>
        <v/>
      </c>
      <c r="C65" s="9" t="str">
        <f>IF(_motor!$B$645=0,"",_motor!$G$645)</f>
        <v/>
      </c>
      <c r="D65" s="9" t="str">
        <f>IF(_motor!$B$645=0,"",_motor!$H$645)</f>
        <v/>
      </c>
      <c r="E65" s="8" t="str">
        <f>IF(OR(_motor!$B$645=0,_motor!$B$674=0),"",_motor!$G$645/_motor!$B$674)</f>
        <v/>
      </c>
      <c r="F65" s="8" t="str">
        <f>IF(OR(_motor!$B$645=0,_motor!$B$674=0),"",_motor!$H$645/_motor!$B$674)</f>
        <v/>
      </c>
      <c r="G65" s="7" t="str">
        <f>IF(_motor!$B$645=0,"",SUMPRODUCT(_motor!$B$586:$B$665*(_motor!$G$586:$G$665&gt;_motor!$G$645))+(SUMPRODUCT(_motor!$B$586:$B$665*(_motor!$G$586:$G$665=_motor!$G$645))+1)/2)</f>
        <v/>
      </c>
      <c r="H65" s="7" t="str">
        <f>IF(_motor!$B$645=0,"",SUMPRODUCT(_motor!$B$586:$B$665*(_motor!$H$586:$H$665&gt;_motor!$H$645))+(SUMPRODUCT(_motor!$B$586:$B$665*(_motor!$H$586:$H$665=_motor!$H$645))+1)/2)</f>
        <v/>
      </c>
      <c r="I65" s="2" t="str">
        <f>IF(_motor!$B$645=0,"",IF(AND(ABS(_motor!$G$645-_motor!$B$670)&lt;=_motor!$B$678+0.000000001,ABS(_motor!$H$645-_motor!$B$670)&lt;=_motor!$B$678+0.000000001),"5 · Pelotón (no concluyente)",IF(AND(_motor!$G$645&gt;=_motor!$B$670,_motor!$H$645&lt;_motor!$B$670),"1 · Entrada / determinante",IF(AND(_motor!$G$645&gt;=_motor!$B$670,_motor!$H$645&gt;=_motor!$B$670),"2 · Intermedia / de enlace",IF(AND(_motor!$G$645&lt;_motor!$B$670,_motor!$H$645&gt;=_motor!$B$670),"3 · Resultado","4 · Excluida / autónoma")))))</f>
        <v/>
      </c>
      <c r="J65" s="2" t="str">
        <f>IF(_motor!$B$645=0,"",IF(AND(ABS(_motor!$G$645-_motor!$B$670)&lt;=_motor!$B$678+0.000000001,ABS(_motor!$H$645-_motor!$B$670)&lt;=_motor!$B$678+0.000000001),"Reguladora",IF(AND(_motor!$G$645&gt;=_motor!$B$670,_motor!$H$645&lt;0.5*_motor!$B$670),"Determinante / entorno",IF(AND(_motor!$G$645&gt;=_motor!$B$670,_motor!$H$645&lt;_motor!$B$670),"Palanca secundaria",IF(AND(_motor!$G$645&gt;=_motor!$B$670,_motor!$H$645&gt;=_motor!$B$670),"Clave / de enlace",IF(AND(_motor!$H$645&gt;=_motor!$B$670,_motor!$G$645&gt;=0.5*_motor!$B$670),"Objetivo",IF(_motor!$H$645&gt;=_motor!$B$670,"Resultado","Autónoma")))))))</f>
        <v/>
      </c>
    </row>
    <row r="66" spans="1:10" x14ac:dyDescent="0.2">
      <c r="A66" s="6" t="str">
        <f>IF(_motor!$B$646=0,"",'02 · Variables'!$B$67)</f>
        <v/>
      </c>
      <c r="B66" s="2" t="str">
        <f>IF(_motor!$B$646=0,"",'02 · Variables'!$C$67)</f>
        <v/>
      </c>
      <c r="C66" s="9" t="str">
        <f>IF(_motor!$B$646=0,"",_motor!$G$646)</f>
        <v/>
      </c>
      <c r="D66" s="9" t="str">
        <f>IF(_motor!$B$646=0,"",_motor!$H$646)</f>
        <v/>
      </c>
      <c r="E66" s="8" t="str">
        <f>IF(OR(_motor!$B$646=0,_motor!$B$674=0),"",_motor!$G$646/_motor!$B$674)</f>
        <v/>
      </c>
      <c r="F66" s="8" t="str">
        <f>IF(OR(_motor!$B$646=0,_motor!$B$674=0),"",_motor!$H$646/_motor!$B$674)</f>
        <v/>
      </c>
      <c r="G66" s="7" t="str">
        <f>IF(_motor!$B$646=0,"",SUMPRODUCT(_motor!$B$586:$B$665*(_motor!$G$586:$G$665&gt;_motor!$G$646))+(SUMPRODUCT(_motor!$B$586:$B$665*(_motor!$G$586:$G$665=_motor!$G$646))+1)/2)</f>
        <v/>
      </c>
      <c r="H66" s="7" t="str">
        <f>IF(_motor!$B$646=0,"",SUMPRODUCT(_motor!$B$586:$B$665*(_motor!$H$586:$H$665&gt;_motor!$H$646))+(SUMPRODUCT(_motor!$B$586:$B$665*(_motor!$H$586:$H$665=_motor!$H$646))+1)/2)</f>
        <v/>
      </c>
      <c r="I66" s="2" t="str">
        <f>IF(_motor!$B$646=0,"",IF(AND(ABS(_motor!$G$646-_motor!$B$670)&lt;=_motor!$B$678+0.000000001,ABS(_motor!$H$646-_motor!$B$670)&lt;=_motor!$B$678+0.000000001),"5 · Pelotón (no concluyente)",IF(AND(_motor!$G$646&gt;=_motor!$B$670,_motor!$H$646&lt;_motor!$B$670),"1 · Entrada / determinante",IF(AND(_motor!$G$646&gt;=_motor!$B$670,_motor!$H$646&gt;=_motor!$B$670),"2 · Intermedia / de enlace",IF(AND(_motor!$G$646&lt;_motor!$B$670,_motor!$H$646&gt;=_motor!$B$670),"3 · Resultado","4 · Excluida / autónoma")))))</f>
        <v/>
      </c>
      <c r="J66" s="2" t="str">
        <f>IF(_motor!$B$646=0,"",IF(AND(ABS(_motor!$G$646-_motor!$B$670)&lt;=_motor!$B$678+0.000000001,ABS(_motor!$H$646-_motor!$B$670)&lt;=_motor!$B$678+0.000000001),"Reguladora",IF(AND(_motor!$G$646&gt;=_motor!$B$670,_motor!$H$646&lt;0.5*_motor!$B$670),"Determinante / entorno",IF(AND(_motor!$G$646&gt;=_motor!$B$670,_motor!$H$646&lt;_motor!$B$670),"Palanca secundaria",IF(AND(_motor!$G$646&gt;=_motor!$B$670,_motor!$H$646&gt;=_motor!$B$670),"Clave / de enlace",IF(AND(_motor!$H$646&gt;=_motor!$B$670,_motor!$G$646&gt;=0.5*_motor!$B$670),"Objetivo",IF(_motor!$H$646&gt;=_motor!$B$670,"Resultado","Autónoma")))))))</f>
        <v/>
      </c>
    </row>
    <row r="67" spans="1:10" x14ac:dyDescent="0.2">
      <c r="A67" s="6" t="str">
        <f>IF(_motor!$B$647=0,"",'02 · Variables'!$B$68)</f>
        <v/>
      </c>
      <c r="B67" s="2" t="str">
        <f>IF(_motor!$B$647=0,"",'02 · Variables'!$C$68)</f>
        <v/>
      </c>
      <c r="C67" s="9" t="str">
        <f>IF(_motor!$B$647=0,"",_motor!$G$647)</f>
        <v/>
      </c>
      <c r="D67" s="9" t="str">
        <f>IF(_motor!$B$647=0,"",_motor!$H$647)</f>
        <v/>
      </c>
      <c r="E67" s="8" t="str">
        <f>IF(OR(_motor!$B$647=0,_motor!$B$674=0),"",_motor!$G$647/_motor!$B$674)</f>
        <v/>
      </c>
      <c r="F67" s="8" t="str">
        <f>IF(OR(_motor!$B$647=0,_motor!$B$674=0),"",_motor!$H$647/_motor!$B$674)</f>
        <v/>
      </c>
      <c r="G67" s="7" t="str">
        <f>IF(_motor!$B$647=0,"",SUMPRODUCT(_motor!$B$586:$B$665*(_motor!$G$586:$G$665&gt;_motor!$G$647))+(SUMPRODUCT(_motor!$B$586:$B$665*(_motor!$G$586:$G$665=_motor!$G$647))+1)/2)</f>
        <v/>
      </c>
      <c r="H67" s="7" t="str">
        <f>IF(_motor!$B$647=0,"",SUMPRODUCT(_motor!$B$586:$B$665*(_motor!$H$586:$H$665&gt;_motor!$H$647))+(SUMPRODUCT(_motor!$B$586:$B$665*(_motor!$H$586:$H$665=_motor!$H$647))+1)/2)</f>
        <v/>
      </c>
      <c r="I67" s="2" t="str">
        <f>IF(_motor!$B$647=0,"",IF(AND(ABS(_motor!$G$647-_motor!$B$670)&lt;=_motor!$B$678+0.000000001,ABS(_motor!$H$647-_motor!$B$670)&lt;=_motor!$B$678+0.000000001),"5 · Pelotón (no concluyente)",IF(AND(_motor!$G$647&gt;=_motor!$B$670,_motor!$H$647&lt;_motor!$B$670),"1 · Entrada / determinante",IF(AND(_motor!$G$647&gt;=_motor!$B$670,_motor!$H$647&gt;=_motor!$B$670),"2 · Intermedia / de enlace",IF(AND(_motor!$G$647&lt;_motor!$B$670,_motor!$H$647&gt;=_motor!$B$670),"3 · Resultado","4 · Excluida / autónoma")))))</f>
        <v/>
      </c>
      <c r="J67" s="2" t="str">
        <f>IF(_motor!$B$647=0,"",IF(AND(ABS(_motor!$G$647-_motor!$B$670)&lt;=_motor!$B$678+0.000000001,ABS(_motor!$H$647-_motor!$B$670)&lt;=_motor!$B$678+0.000000001),"Reguladora",IF(AND(_motor!$G$647&gt;=_motor!$B$670,_motor!$H$647&lt;0.5*_motor!$B$670),"Determinante / entorno",IF(AND(_motor!$G$647&gt;=_motor!$B$670,_motor!$H$647&lt;_motor!$B$670),"Palanca secundaria",IF(AND(_motor!$G$647&gt;=_motor!$B$670,_motor!$H$647&gt;=_motor!$B$670),"Clave / de enlace",IF(AND(_motor!$H$647&gt;=_motor!$B$670,_motor!$G$647&gt;=0.5*_motor!$B$670),"Objetivo",IF(_motor!$H$647&gt;=_motor!$B$670,"Resultado","Autónoma")))))))</f>
        <v/>
      </c>
    </row>
    <row r="68" spans="1:10" x14ac:dyDescent="0.2">
      <c r="A68" s="6" t="str">
        <f>IF(_motor!$B$648=0,"",'02 · Variables'!$B$69)</f>
        <v/>
      </c>
      <c r="B68" s="2" t="str">
        <f>IF(_motor!$B$648=0,"",'02 · Variables'!$C$69)</f>
        <v/>
      </c>
      <c r="C68" s="9" t="str">
        <f>IF(_motor!$B$648=0,"",_motor!$G$648)</f>
        <v/>
      </c>
      <c r="D68" s="9" t="str">
        <f>IF(_motor!$B$648=0,"",_motor!$H$648)</f>
        <v/>
      </c>
      <c r="E68" s="8" t="str">
        <f>IF(OR(_motor!$B$648=0,_motor!$B$674=0),"",_motor!$G$648/_motor!$B$674)</f>
        <v/>
      </c>
      <c r="F68" s="8" t="str">
        <f>IF(OR(_motor!$B$648=0,_motor!$B$674=0),"",_motor!$H$648/_motor!$B$674)</f>
        <v/>
      </c>
      <c r="G68" s="7" t="str">
        <f>IF(_motor!$B$648=0,"",SUMPRODUCT(_motor!$B$586:$B$665*(_motor!$G$586:$G$665&gt;_motor!$G$648))+(SUMPRODUCT(_motor!$B$586:$B$665*(_motor!$G$586:$G$665=_motor!$G$648))+1)/2)</f>
        <v/>
      </c>
      <c r="H68" s="7" t="str">
        <f>IF(_motor!$B$648=0,"",SUMPRODUCT(_motor!$B$586:$B$665*(_motor!$H$586:$H$665&gt;_motor!$H$648))+(SUMPRODUCT(_motor!$B$586:$B$665*(_motor!$H$586:$H$665=_motor!$H$648))+1)/2)</f>
        <v/>
      </c>
      <c r="I68" s="2" t="str">
        <f>IF(_motor!$B$648=0,"",IF(AND(ABS(_motor!$G$648-_motor!$B$670)&lt;=_motor!$B$678+0.000000001,ABS(_motor!$H$648-_motor!$B$670)&lt;=_motor!$B$678+0.000000001),"5 · Pelotón (no concluyente)",IF(AND(_motor!$G$648&gt;=_motor!$B$670,_motor!$H$648&lt;_motor!$B$670),"1 · Entrada / determinante",IF(AND(_motor!$G$648&gt;=_motor!$B$670,_motor!$H$648&gt;=_motor!$B$670),"2 · Intermedia / de enlace",IF(AND(_motor!$G$648&lt;_motor!$B$670,_motor!$H$648&gt;=_motor!$B$670),"3 · Resultado","4 · Excluida / autónoma")))))</f>
        <v/>
      </c>
      <c r="J68" s="2" t="str">
        <f>IF(_motor!$B$648=0,"",IF(AND(ABS(_motor!$G$648-_motor!$B$670)&lt;=_motor!$B$678+0.000000001,ABS(_motor!$H$648-_motor!$B$670)&lt;=_motor!$B$678+0.000000001),"Reguladora",IF(AND(_motor!$G$648&gt;=_motor!$B$670,_motor!$H$648&lt;0.5*_motor!$B$670),"Determinante / entorno",IF(AND(_motor!$G$648&gt;=_motor!$B$670,_motor!$H$648&lt;_motor!$B$670),"Palanca secundaria",IF(AND(_motor!$G$648&gt;=_motor!$B$670,_motor!$H$648&gt;=_motor!$B$670),"Clave / de enlace",IF(AND(_motor!$H$648&gt;=_motor!$B$670,_motor!$G$648&gt;=0.5*_motor!$B$670),"Objetivo",IF(_motor!$H$648&gt;=_motor!$B$670,"Resultado","Autónoma")))))))</f>
        <v/>
      </c>
    </row>
    <row r="69" spans="1:10" x14ac:dyDescent="0.2">
      <c r="A69" s="6" t="str">
        <f>IF(_motor!$B$649=0,"",'02 · Variables'!$B$70)</f>
        <v/>
      </c>
      <c r="B69" s="2" t="str">
        <f>IF(_motor!$B$649=0,"",'02 · Variables'!$C$70)</f>
        <v/>
      </c>
      <c r="C69" s="9" t="str">
        <f>IF(_motor!$B$649=0,"",_motor!$G$649)</f>
        <v/>
      </c>
      <c r="D69" s="9" t="str">
        <f>IF(_motor!$B$649=0,"",_motor!$H$649)</f>
        <v/>
      </c>
      <c r="E69" s="8" t="str">
        <f>IF(OR(_motor!$B$649=0,_motor!$B$674=0),"",_motor!$G$649/_motor!$B$674)</f>
        <v/>
      </c>
      <c r="F69" s="8" t="str">
        <f>IF(OR(_motor!$B$649=0,_motor!$B$674=0),"",_motor!$H$649/_motor!$B$674)</f>
        <v/>
      </c>
      <c r="G69" s="7" t="str">
        <f>IF(_motor!$B$649=0,"",SUMPRODUCT(_motor!$B$586:$B$665*(_motor!$G$586:$G$665&gt;_motor!$G$649))+(SUMPRODUCT(_motor!$B$586:$B$665*(_motor!$G$586:$G$665=_motor!$G$649))+1)/2)</f>
        <v/>
      </c>
      <c r="H69" s="7" t="str">
        <f>IF(_motor!$B$649=0,"",SUMPRODUCT(_motor!$B$586:$B$665*(_motor!$H$586:$H$665&gt;_motor!$H$649))+(SUMPRODUCT(_motor!$B$586:$B$665*(_motor!$H$586:$H$665=_motor!$H$649))+1)/2)</f>
        <v/>
      </c>
      <c r="I69" s="2" t="str">
        <f>IF(_motor!$B$649=0,"",IF(AND(ABS(_motor!$G$649-_motor!$B$670)&lt;=_motor!$B$678+0.000000001,ABS(_motor!$H$649-_motor!$B$670)&lt;=_motor!$B$678+0.000000001),"5 · Pelotón (no concluyente)",IF(AND(_motor!$G$649&gt;=_motor!$B$670,_motor!$H$649&lt;_motor!$B$670),"1 · Entrada / determinante",IF(AND(_motor!$G$649&gt;=_motor!$B$670,_motor!$H$649&gt;=_motor!$B$670),"2 · Intermedia / de enlace",IF(AND(_motor!$G$649&lt;_motor!$B$670,_motor!$H$649&gt;=_motor!$B$670),"3 · Resultado","4 · Excluida / autónoma")))))</f>
        <v/>
      </c>
      <c r="J69" s="2" t="str">
        <f>IF(_motor!$B$649=0,"",IF(AND(ABS(_motor!$G$649-_motor!$B$670)&lt;=_motor!$B$678+0.000000001,ABS(_motor!$H$649-_motor!$B$670)&lt;=_motor!$B$678+0.000000001),"Reguladora",IF(AND(_motor!$G$649&gt;=_motor!$B$670,_motor!$H$649&lt;0.5*_motor!$B$670),"Determinante / entorno",IF(AND(_motor!$G$649&gt;=_motor!$B$670,_motor!$H$649&lt;_motor!$B$670),"Palanca secundaria",IF(AND(_motor!$G$649&gt;=_motor!$B$670,_motor!$H$649&gt;=_motor!$B$670),"Clave / de enlace",IF(AND(_motor!$H$649&gt;=_motor!$B$670,_motor!$G$649&gt;=0.5*_motor!$B$670),"Objetivo",IF(_motor!$H$649&gt;=_motor!$B$670,"Resultado","Autónoma")))))))</f>
        <v/>
      </c>
    </row>
    <row r="70" spans="1:10" x14ac:dyDescent="0.2">
      <c r="A70" s="6" t="str">
        <f>IF(_motor!$B$650=0,"",'02 · Variables'!$B$71)</f>
        <v/>
      </c>
      <c r="B70" s="2" t="str">
        <f>IF(_motor!$B$650=0,"",'02 · Variables'!$C$71)</f>
        <v/>
      </c>
      <c r="C70" s="9" t="str">
        <f>IF(_motor!$B$650=0,"",_motor!$G$650)</f>
        <v/>
      </c>
      <c r="D70" s="9" t="str">
        <f>IF(_motor!$B$650=0,"",_motor!$H$650)</f>
        <v/>
      </c>
      <c r="E70" s="8" t="str">
        <f>IF(OR(_motor!$B$650=0,_motor!$B$674=0),"",_motor!$G$650/_motor!$B$674)</f>
        <v/>
      </c>
      <c r="F70" s="8" t="str">
        <f>IF(OR(_motor!$B$650=0,_motor!$B$674=0),"",_motor!$H$650/_motor!$B$674)</f>
        <v/>
      </c>
      <c r="G70" s="7" t="str">
        <f>IF(_motor!$B$650=0,"",SUMPRODUCT(_motor!$B$586:$B$665*(_motor!$G$586:$G$665&gt;_motor!$G$650))+(SUMPRODUCT(_motor!$B$586:$B$665*(_motor!$G$586:$G$665=_motor!$G$650))+1)/2)</f>
        <v/>
      </c>
      <c r="H70" s="7" t="str">
        <f>IF(_motor!$B$650=0,"",SUMPRODUCT(_motor!$B$586:$B$665*(_motor!$H$586:$H$665&gt;_motor!$H$650))+(SUMPRODUCT(_motor!$B$586:$B$665*(_motor!$H$586:$H$665=_motor!$H$650))+1)/2)</f>
        <v/>
      </c>
      <c r="I70" s="2" t="str">
        <f>IF(_motor!$B$650=0,"",IF(AND(ABS(_motor!$G$650-_motor!$B$670)&lt;=_motor!$B$678+0.000000001,ABS(_motor!$H$650-_motor!$B$670)&lt;=_motor!$B$678+0.000000001),"5 · Pelotón (no concluyente)",IF(AND(_motor!$G$650&gt;=_motor!$B$670,_motor!$H$650&lt;_motor!$B$670),"1 · Entrada / determinante",IF(AND(_motor!$G$650&gt;=_motor!$B$670,_motor!$H$650&gt;=_motor!$B$670),"2 · Intermedia / de enlace",IF(AND(_motor!$G$650&lt;_motor!$B$670,_motor!$H$650&gt;=_motor!$B$670),"3 · Resultado","4 · Excluida / autónoma")))))</f>
        <v/>
      </c>
      <c r="J70" s="2" t="str">
        <f>IF(_motor!$B$650=0,"",IF(AND(ABS(_motor!$G$650-_motor!$B$670)&lt;=_motor!$B$678+0.000000001,ABS(_motor!$H$650-_motor!$B$670)&lt;=_motor!$B$678+0.000000001),"Reguladora",IF(AND(_motor!$G$650&gt;=_motor!$B$670,_motor!$H$650&lt;0.5*_motor!$B$670),"Determinante / entorno",IF(AND(_motor!$G$650&gt;=_motor!$B$670,_motor!$H$650&lt;_motor!$B$670),"Palanca secundaria",IF(AND(_motor!$G$650&gt;=_motor!$B$670,_motor!$H$650&gt;=_motor!$B$670),"Clave / de enlace",IF(AND(_motor!$H$650&gt;=_motor!$B$670,_motor!$G$650&gt;=0.5*_motor!$B$670),"Objetivo",IF(_motor!$H$650&gt;=_motor!$B$670,"Resultado","Autónoma")))))))</f>
        <v/>
      </c>
    </row>
    <row r="71" spans="1:10" x14ac:dyDescent="0.2">
      <c r="A71" s="6" t="str">
        <f>IF(_motor!$B$651=0,"",'02 · Variables'!$B$72)</f>
        <v/>
      </c>
      <c r="B71" s="2" t="str">
        <f>IF(_motor!$B$651=0,"",'02 · Variables'!$C$72)</f>
        <v/>
      </c>
      <c r="C71" s="9" t="str">
        <f>IF(_motor!$B$651=0,"",_motor!$G$651)</f>
        <v/>
      </c>
      <c r="D71" s="9" t="str">
        <f>IF(_motor!$B$651=0,"",_motor!$H$651)</f>
        <v/>
      </c>
      <c r="E71" s="8" t="str">
        <f>IF(OR(_motor!$B$651=0,_motor!$B$674=0),"",_motor!$G$651/_motor!$B$674)</f>
        <v/>
      </c>
      <c r="F71" s="8" t="str">
        <f>IF(OR(_motor!$B$651=0,_motor!$B$674=0),"",_motor!$H$651/_motor!$B$674)</f>
        <v/>
      </c>
      <c r="G71" s="7" t="str">
        <f>IF(_motor!$B$651=0,"",SUMPRODUCT(_motor!$B$586:$B$665*(_motor!$G$586:$G$665&gt;_motor!$G$651))+(SUMPRODUCT(_motor!$B$586:$B$665*(_motor!$G$586:$G$665=_motor!$G$651))+1)/2)</f>
        <v/>
      </c>
      <c r="H71" s="7" t="str">
        <f>IF(_motor!$B$651=0,"",SUMPRODUCT(_motor!$B$586:$B$665*(_motor!$H$586:$H$665&gt;_motor!$H$651))+(SUMPRODUCT(_motor!$B$586:$B$665*(_motor!$H$586:$H$665=_motor!$H$651))+1)/2)</f>
        <v/>
      </c>
      <c r="I71" s="2" t="str">
        <f>IF(_motor!$B$651=0,"",IF(AND(ABS(_motor!$G$651-_motor!$B$670)&lt;=_motor!$B$678+0.000000001,ABS(_motor!$H$651-_motor!$B$670)&lt;=_motor!$B$678+0.000000001),"5 · Pelotón (no concluyente)",IF(AND(_motor!$G$651&gt;=_motor!$B$670,_motor!$H$651&lt;_motor!$B$670),"1 · Entrada / determinante",IF(AND(_motor!$G$651&gt;=_motor!$B$670,_motor!$H$651&gt;=_motor!$B$670),"2 · Intermedia / de enlace",IF(AND(_motor!$G$651&lt;_motor!$B$670,_motor!$H$651&gt;=_motor!$B$670),"3 · Resultado","4 · Excluida / autónoma")))))</f>
        <v/>
      </c>
      <c r="J71" s="2" t="str">
        <f>IF(_motor!$B$651=0,"",IF(AND(ABS(_motor!$G$651-_motor!$B$670)&lt;=_motor!$B$678+0.000000001,ABS(_motor!$H$651-_motor!$B$670)&lt;=_motor!$B$678+0.000000001),"Reguladora",IF(AND(_motor!$G$651&gt;=_motor!$B$670,_motor!$H$651&lt;0.5*_motor!$B$670),"Determinante / entorno",IF(AND(_motor!$G$651&gt;=_motor!$B$670,_motor!$H$651&lt;_motor!$B$670),"Palanca secundaria",IF(AND(_motor!$G$651&gt;=_motor!$B$670,_motor!$H$651&gt;=_motor!$B$670),"Clave / de enlace",IF(AND(_motor!$H$651&gt;=_motor!$B$670,_motor!$G$651&gt;=0.5*_motor!$B$670),"Objetivo",IF(_motor!$H$651&gt;=_motor!$B$670,"Resultado","Autónoma")))))))</f>
        <v/>
      </c>
    </row>
    <row r="72" spans="1:10" x14ac:dyDescent="0.2">
      <c r="A72" s="6" t="str">
        <f>IF(_motor!$B$652=0,"",'02 · Variables'!$B$73)</f>
        <v/>
      </c>
      <c r="B72" s="2" t="str">
        <f>IF(_motor!$B$652=0,"",'02 · Variables'!$C$73)</f>
        <v/>
      </c>
      <c r="C72" s="9" t="str">
        <f>IF(_motor!$B$652=0,"",_motor!$G$652)</f>
        <v/>
      </c>
      <c r="D72" s="9" t="str">
        <f>IF(_motor!$B$652=0,"",_motor!$H$652)</f>
        <v/>
      </c>
      <c r="E72" s="8" t="str">
        <f>IF(OR(_motor!$B$652=0,_motor!$B$674=0),"",_motor!$G$652/_motor!$B$674)</f>
        <v/>
      </c>
      <c r="F72" s="8" t="str">
        <f>IF(OR(_motor!$B$652=0,_motor!$B$674=0),"",_motor!$H$652/_motor!$B$674)</f>
        <v/>
      </c>
      <c r="G72" s="7" t="str">
        <f>IF(_motor!$B$652=0,"",SUMPRODUCT(_motor!$B$586:$B$665*(_motor!$G$586:$G$665&gt;_motor!$G$652))+(SUMPRODUCT(_motor!$B$586:$B$665*(_motor!$G$586:$G$665=_motor!$G$652))+1)/2)</f>
        <v/>
      </c>
      <c r="H72" s="7" t="str">
        <f>IF(_motor!$B$652=0,"",SUMPRODUCT(_motor!$B$586:$B$665*(_motor!$H$586:$H$665&gt;_motor!$H$652))+(SUMPRODUCT(_motor!$B$586:$B$665*(_motor!$H$586:$H$665=_motor!$H$652))+1)/2)</f>
        <v/>
      </c>
      <c r="I72" s="2" t="str">
        <f>IF(_motor!$B$652=0,"",IF(AND(ABS(_motor!$G$652-_motor!$B$670)&lt;=_motor!$B$678+0.000000001,ABS(_motor!$H$652-_motor!$B$670)&lt;=_motor!$B$678+0.000000001),"5 · Pelotón (no concluyente)",IF(AND(_motor!$G$652&gt;=_motor!$B$670,_motor!$H$652&lt;_motor!$B$670),"1 · Entrada / determinante",IF(AND(_motor!$G$652&gt;=_motor!$B$670,_motor!$H$652&gt;=_motor!$B$670),"2 · Intermedia / de enlace",IF(AND(_motor!$G$652&lt;_motor!$B$670,_motor!$H$652&gt;=_motor!$B$670),"3 · Resultado","4 · Excluida / autónoma")))))</f>
        <v/>
      </c>
      <c r="J72" s="2" t="str">
        <f>IF(_motor!$B$652=0,"",IF(AND(ABS(_motor!$G$652-_motor!$B$670)&lt;=_motor!$B$678+0.000000001,ABS(_motor!$H$652-_motor!$B$670)&lt;=_motor!$B$678+0.000000001),"Reguladora",IF(AND(_motor!$G$652&gt;=_motor!$B$670,_motor!$H$652&lt;0.5*_motor!$B$670),"Determinante / entorno",IF(AND(_motor!$G$652&gt;=_motor!$B$670,_motor!$H$652&lt;_motor!$B$670),"Palanca secundaria",IF(AND(_motor!$G$652&gt;=_motor!$B$670,_motor!$H$652&gt;=_motor!$B$670),"Clave / de enlace",IF(AND(_motor!$H$652&gt;=_motor!$B$670,_motor!$G$652&gt;=0.5*_motor!$B$670),"Objetivo",IF(_motor!$H$652&gt;=_motor!$B$670,"Resultado","Autónoma")))))))</f>
        <v/>
      </c>
    </row>
    <row r="73" spans="1:10" x14ac:dyDescent="0.2">
      <c r="A73" s="6" t="str">
        <f>IF(_motor!$B$653=0,"",'02 · Variables'!$B$74)</f>
        <v/>
      </c>
      <c r="B73" s="2" t="str">
        <f>IF(_motor!$B$653=0,"",'02 · Variables'!$C$74)</f>
        <v/>
      </c>
      <c r="C73" s="9" t="str">
        <f>IF(_motor!$B$653=0,"",_motor!$G$653)</f>
        <v/>
      </c>
      <c r="D73" s="9" t="str">
        <f>IF(_motor!$B$653=0,"",_motor!$H$653)</f>
        <v/>
      </c>
      <c r="E73" s="8" t="str">
        <f>IF(OR(_motor!$B$653=0,_motor!$B$674=0),"",_motor!$G$653/_motor!$B$674)</f>
        <v/>
      </c>
      <c r="F73" s="8" t="str">
        <f>IF(OR(_motor!$B$653=0,_motor!$B$674=0),"",_motor!$H$653/_motor!$B$674)</f>
        <v/>
      </c>
      <c r="G73" s="7" t="str">
        <f>IF(_motor!$B$653=0,"",SUMPRODUCT(_motor!$B$586:$B$665*(_motor!$G$586:$G$665&gt;_motor!$G$653))+(SUMPRODUCT(_motor!$B$586:$B$665*(_motor!$G$586:$G$665=_motor!$G$653))+1)/2)</f>
        <v/>
      </c>
      <c r="H73" s="7" t="str">
        <f>IF(_motor!$B$653=0,"",SUMPRODUCT(_motor!$B$586:$B$665*(_motor!$H$586:$H$665&gt;_motor!$H$653))+(SUMPRODUCT(_motor!$B$586:$B$665*(_motor!$H$586:$H$665=_motor!$H$653))+1)/2)</f>
        <v/>
      </c>
      <c r="I73" s="2" t="str">
        <f>IF(_motor!$B$653=0,"",IF(AND(ABS(_motor!$G$653-_motor!$B$670)&lt;=_motor!$B$678+0.000000001,ABS(_motor!$H$653-_motor!$B$670)&lt;=_motor!$B$678+0.000000001),"5 · Pelotón (no concluyente)",IF(AND(_motor!$G$653&gt;=_motor!$B$670,_motor!$H$653&lt;_motor!$B$670),"1 · Entrada / determinante",IF(AND(_motor!$G$653&gt;=_motor!$B$670,_motor!$H$653&gt;=_motor!$B$670),"2 · Intermedia / de enlace",IF(AND(_motor!$G$653&lt;_motor!$B$670,_motor!$H$653&gt;=_motor!$B$670),"3 · Resultado","4 · Excluida / autónoma")))))</f>
        <v/>
      </c>
      <c r="J73" s="2" t="str">
        <f>IF(_motor!$B$653=0,"",IF(AND(ABS(_motor!$G$653-_motor!$B$670)&lt;=_motor!$B$678+0.000000001,ABS(_motor!$H$653-_motor!$B$670)&lt;=_motor!$B$678+0.000000001),"Reguladora",IF(AND(_motor!$G$653&gt;=_motor!$B$670,_motor!$H$653&lt;0.5*_motor!$B$670),"Determinante / entorno",IF(AND(_motor!$G$653&gt;=_motor!$B$670,_motor!$H$653&lt;_motor!$B$670),"Palanca secundaria",IF(AND(_motor!$G$653&gt;=_motor!$B$670,_motor!$H$653&gt;=_motor!$B$670),"Clave / de enlace",IF(AND(_motor!$H$653&gt;=_motor!$B$670,_motor!$G$653&gt;=0.5*_motor!$B$670),"Objetivo",IF(_motor!$H$653&gt;=_motor!$B$670,"Resultado","Autónoma")))))))</f>
        <v/>
      </c>
    </row>
    <row r="74" spans="1:10" x14ac:dyDescent="0.2">
      <c r="A74" s="6" t="str">
        <f>IF(_motor!$B$654=0,"",'02 · Variables'!$B$75)</f>
        <v/>
      </c>
      <c r="B74" s="2" t="str">
        <f>IF(_motor!$B$654=0,"",'02 · Variables'!$C$75)</f>
        <v/>
      </c>
      <c r="C74" s="9" t="str">
        <f>IF(_motor!$B$654=0,"",_motor!$G$654)</f>
        <v/>
      </c>
      <c r="D74" s="9" t="str">
        <f>IF(_motor!$B$654=0,"",_motor!$H$654)</f>
        <v/>
      </c>
      <c r="E74" s="8" t="str">
        <f>IF(OR(_motor!$B$654=0,_motor!$B$674=0),"",_motor!$G$654/_motor!$B$674)</f>
        <v/>
      </c>
      <c r="F74" s="8" t="str">
        <f>IF(OR(_motor!$B$654=0,_motor!$B$674=0),"",_motor!$H$654/_motor!$B$674)</f>
        <v/>
      </c>
      <c r="G74" s="7" t="str">
        <f>IF(_motor!$B$654=0,"",SUMPRODUCT(_motor!$B$586:$B$665*(_motor!$G$586:$G$665&gt;_motor!$G$654))+(SUMPRODUCT(_motor!$B$586:$B$665*(_motor!$G$586:$G$665=_motor!$G$654))+1)/2)</f>
        <v/>
      </c>
      <c r="H74" s="7" t="str">
        <f>IF(_motor!$B$654=0,"",SUMPRODUCT(_motor!$B$586:$B$665*(_motor!$H$586:$H$665&gt;_motor!$H$654))+(SUMPRODUCT(_motor!$B$586:$B$665*(_motor!$H$586:$H$665=_motor!$H$654))+1)/2)</f>
        <v/>
      </c>
      <c r="I74" s="2" t="str">
        <f>IF(_motor!$B$654=0,"",IF(AND(ABS(_motor!$G$654-_motor!$B$670)&lt;=_motor!$B$678+0.000000001,ABS(_motor!$H$654-_motor!$B$670)&lt;=_motor!$B$678+0.000000001),"5 · Pelotón (no concluyente)",IF(AND(_motor!$G$654&gt;=_motor!$B$670,_motor!$H$654&lt;_motor!$B$670),"1 · Entrada / determinante",IF(AND(_motor!$G$654&gt;=_motor!$B$670,_motor!$H$654&gt;=_motor!$B$670),"2 · Intermedia / de enlace",IF(AND(_motor!$G$654&lt;_motor!$B$670,_motor!$H$654&gt;=_motor!$B$670),"3 · Resultado","4 · Excluida / autónoma")))))</f>
        <v/>
      </c>
      <c r="J74" s="2" t="str">
        <f>IF(_motor!$B$654=0,"",IF(AND(ABS(_motor!$G$654-_motor!$B$670)&lt;=_motor!$B$678+0.000000001,ABS(_motor!$H$654-_motor!$B$670)&lt;=_motor!$B$678+0.000000001),"Reguladora",IF(AND(_motor!$G$654&gt;=_motor!$B$670,_motor!$H$654&lt;0.5*_motor!$B$670),"Determinante / entorno",IF(AND(_motor!$G$654&gt;=_motor!$B$670,_motor!$H$654&lt;_motor!$B$670),"Palanca secundaria",IF(AND(_motor!$G$654&gt;=_motor!$B$670,_motor!$H$654&gt;=_motor!$B$670),"Clave / de enlace",IF(AND(_motor!$H$654&gt;=_motor!$B$670,_motor!$G$654&gt;=0.5*_motor!$B$670),"Objetivo",IF(_motor!$H$654&gt;=_motor!$B$670,"Resultado","Autónoma")))))))</f>
        <v/>
      </c>
    </row>
    <row r="75" spans="1:10" x14ac:dyDescent="0.2">
      <c r="A75" s="6" t="str">
        <f>IF(_motor!$B$655=0,"",'02 · Variables'!$B$76)</f>
        <v/>
      </c>
      <c r="B75" s="2" t="str">
        <f>IF(_motor!$B$655=0,"",'02 · Variables'!$C$76)</f>
        <v/>
      </c>
      <c r="C75" s="9" t="str">
        <f>IF(_motor!$B$655=0,"",_motor!$G$655)</f>
        <v/>
      </c>
      <c r="D75" s="9" t="str">
        <f>IF(_motor!$B$655=0,"",_motor!$H$655)</f>
        <v/>
      </c>
      <c r="E75" s="8" t="str">
        <f>IF(OR(_motor!$B$655=0,_motor!$B$674=0),"",_motor!$G$655/_motor!$B$674)</f>
        <v/>
      </c>
      <c r="F75" s="8" t="str">
        <f>IF(OR(_motor!$B$655=0,_motor!$B$674=0),"",_motor!$H$655/_motor!$B$674)</f>
        <v/>
      </c>
      <c r="G75" s="7" t="str">
        <f>IF(_motor!$B$655=0,"",SUMPRODUCT(_motor!$B$586:$B$665*(_motor!$G$586:$G$665&gt;_motor!$G$655))+(SUMPRODUCT(_motor!$B$586:$B$665*(_motor!$G$586:$G$665=_motor!$G$655))+1)/2)</f>
        <v/>
      </c>
      <c r="H75" s="7" t="str">
        <f>IF(_motor!$B$655=0,"",SUMPRODUCT(_motor!$B$586:$B$665*(_motor!$H$586:$H$665&gt;_motor!$H$655))+(SUMPRODUCT(_motor!$B$586:$B$665*(_motor!$H$586:$H$665=_motor!$H$655))+1)/2)</f>
        <v/>
      </c>
      <c r="I75" s="2" t="str">
        <f>IF(_motor!$B$655=0,"",IF(AND(ABS(_motor!$G$655-_motor!$B$670)&lt;=_motor!$B$678+0.000000001,ABS(_motor!$H$655-_motor!$B$670)&lt;=_motor!$B$678+0.000000001),"5 · Pelotón (no concluyente)",IF(AND(_motor!$G$655&gt;=_motor!$B$670,_motor!$H$655&lt;_motor!$B$670),"1 · Entrada / determinante",IF(AND(_motor!$G$655&gt;=_motor!$B$670,_motor!$H$655&gt;=_motor!$B$670),"2 · Intermedia / de enlace",IF(AND(_motor!$G$655&lt;_motor!$B$670,_motor!$H$655&gt;=_motor!$B$670),"3 · Resultado","4 · Excluida / autónoma")))))</f>
        <v/>
      </c>
      <c r="J75" s="2" t="str">
        <f>IF(_motor!$B$655=0,"",IF(AND(ABS(_motor!$G$655-_motor!$B$670)&lt;=_motor!$B$678+0.000000001,ABS(_motor!$H$655-_motor!$B$670)&lt;=_motor!$B$678+0.000000001),"Reguladora",IF(AND(_motor!$G$655&gt;=_motor!$B$670,_motor!$H$655&lt;0.5*_motor!$B$670),"Determinante / entorno",IF(AND(_motor!$G$655&gt;=_motor!$B$670,_motor!$H$655&lt;_motor!$B$670),"Palanca secundaria",IF(AND(_motor!$G$655&gt;=_motor!$B$670,_motor!$H$655&gt;=_motor!$B$670),"Clave / de enlace",IF(AND(_motor!$H$655&gt;=_motor!$B$670,_motor!$G$655&gt;=0.5*_motor!$B$670),"Objetivo",IF(_motor!$H$655&gt;=_motor!$B$670,"Resultado","Autónoma")))))))</f>
        <v/>
      </c>
    </row>
    <row r="76" spans="1:10" x14ac:dyDescent="0.2">
      <c r="A76" s="6" t="str">
        <f>IF(_motor!$B$656=0,"",'02 · Variables'!$B$77)</f>
        <v/>
      </c>
      <c r="B76" s="2" t="str">
        <f>IF(_motor!$B$656=0,"",'02 · Variables'!$C$77)</f>
        <v/>
      </c>
      <c r="C76" s="9" t="str">
        <f>IF(_motor!$B$656=0,"",_motor!$G$656)</f>
        <v/>
      </c>
      <c r="D76" s="9" t="str">
        <f>IF(_motor!$B$656=0,"",_motor!$H$656)</f>
        <v/>
      </c>
      <c r="E76" s="8" t="str">
        <f>IF(OR(_motor!$B$656=0,_motor!$B$674=0),"",_motor!$G$656/_motor!$B$674)</f>
        <v/>
      </c>
      <c r="F76" s="8" t="str">
        <f>IF(OR(_motor!$B$656=0,_motor!$B$674=0),"",_motor!$H$656/_motor!$B$674)</f>
        <v/>
      </c>
      <c r="G76" s="7" t="str">
        <f>IF(_motor!$B$656=0,"",SUMPRODUCT(_motor!$B$586:$B$665*(_motor!$G$586:$G$665&gt;_motor!$G$656))+(SUMPRODUCT(_motor!$B$586:$B$665*(_motor!$G$586:$G$665=_motor!$G$656))+1)/2)</f>
        <v/>
      </c>
      <c r="H76" s="7" t="str">
        <f>IF(_motor!$B$656=0,"",SUMPRODUCT(_motor!$B$586:$B$665*(_motor!$H$586:$H$665&gt;_motor!$H$656))+(SUMPRODUCT(_motor!$B$586:$B$665*(_motor!$H$586:$H$665=_motor!$H$656))+1)/2)</f>
        <v/>
      </c>
      <c r="I76" s="2" t="str">
        <f>IF(_motor!$B$656=0,"",IF(AND(ABS(_motor!$G$656-_motor!$B$670)&lt;=_motor!$B$678+0.000000001,ABS(_motor!$H$656-_motor!$B$670)&lt;=_motor!$B$678+0.000000001),"5 · Pelotón (no concluyente)",IF(AND(_motor!$G$656&gt;=_motor!$B$670,_motor!$H$656&lt;_motor!$B$670),"1 · Entrada / determinante",IF(AND(_motor!$G$656&gt;=_motor!$B$670,_motor!$H$656&gt;=_motor!$B$670),"2 · Intermedia / de enlace",IF(AND(_motor!$G$656&lt;_motor!$B$670,_motor!$H$656&gt;=_motor!$B$670),"3 · Resultado","4 · Excluida / autónoma")))))</f>
        <v/>
      </c>
      <c r="J76" s="2" t="str">
        <f>IF(_motor!$B$656=0,"",IF(AND(ABS(_motor!$G$656-_motor!$B$670)&lt;=_motor!$B$678+0.000000001,ABS(_motor!$H$656-_motor!$B$670)&lt;=_motor!$B$678+0.000000001),"Reguladora",IF(AND(_motor!$G$656&gt;=_motor!$B$670,_motor!$H$656&lt;0.5*_motor!$B$670),"Determinante / entorno",IF(AND(_motor!$G$656&gt;=_motor!$B$670,_motor!$H$656&lt;_motor!$B$670),"Palanca secundaria",IF(AND(_motor!$G$656&gt;=_motor!$B$670,_motor!$H$656&gt;=_motor!$B$670),"Clave / de enlace",IF(AND(_motor!$H$656&gt;=_motor!$B$670,_motor!$G$656&gt;=0.5*_motor!$B$670),"Objetivo",IF(_motor!$H$656&gt;=_motor!$B$670,"Resultado","Autónoma")))))))</f>
        <v/>
      </c>
    </row>
    <row r="77" spans="1:10" x14ac:dyDescent="0.2">
      <c r="A77" s="6" t="str">
        <f>IF(_motor!$B$657=0,"",'02 · Variables'!$B$78)</f>
        <v/>
      </c>
      <c r="B77" s="2" t="str">
        <f>IF(_motor!$B$657=0,"",'02 · Variables'!$C$78)</f>
        <v/>
      </c>
      <c r="C77" s="9" t="str">
        <f>IF(_motor!$B$657=0,"",_motor!$G$657)</f>
        <v/>
      </c>
      <c r="D77" s="9" t="str">
        <f>IF(_motor!$B$657=0,"",_motor!$H$657)</f>
        <v/>
      </c>
      <c r="E77" s="8" t="str">
        <f>IF(OR(_motor!$B$657=0,_motor!$B$674=0),"",_motor!$G$657/_motor!$B$674)</f>
        <v/>
      </c>
      <c r="F77" s="8" t="str">
        <f>IF(OR(_motor!$B$657=0,_motor!$B$674=0),"",_motor!$H$657/_motor!$B$674)</f>
        <v/>
      </c>
      <c r="G77" s="7" t="str">
        <f>IF(_motor!$B$657=0,"",SUMPRODUCT(_motor!$B$586:$B$665*(_motor!$G$586:$G$665&gt;_motor!$G$657))+(SUMPRODUCT(_motor!$B$586:$B$665*(_motor!$G$586:$G$665=_motor!$G$657))+1)/2)</f>
        <v/>
      </c>
      <c r="H77" s="7" t="str">
        <f>IF(_motor!$B$657=0,"",SUMPRODUCT(_motor!$B$586:$B$665*(_motor!$H$586:$H$665&gt;_motor!$H$657))+(SUMPRODUCT(_motor!$B$586:$B$665*(_motor!$H$586:$H$665=_motor!$H$657))+1)/2)</f>
        <v/>
      </c>
      <c r="I77" s="2" t="str">
        <f>IF(_motor!$B$657=0,"",IF(AND(ABS(_motor!$G$657-_motor!$B$670)&lt;=_motor!$B$678+0.000000001,ABS(_motor!$H$657-_motor!$B$670)&lt;=_motor!$B$678+0.000000001),"5 · Pelotón (no concluyente)",IF(AND(_motor!$G$657&gt;=_motor!$B$670,_motor!$H$657&lt;_motor!$B$670),"1 · Entrada / determinante",IF(AND(_motor!$G$657&gt;=_motor!$B$670,_motor!$H$657&gt;=_motor!$B$670),"2 · Intermedia / de enlace",IF(AND(_motor!$G$657&lt;_motor!$B$670,_motor!$H$657&gt;=_motor!$B$670),"3 · Resultado","4 · Excluida / autónoma")))))</f>
        <v/>
      </c>
      <c r="J77" s="2" t="str">
        <f>IF(_motor!$B$657=0,"",IF(AND(ABS(_motor!$G$657-_motor!$B$670)&lt;=_motor!$B$678+0.000000001,ABS(_motor!$H$657-_motor!$B$670)&lt;=_motor!$B$678+0.000000001),"Reguladora",IF(AND(_motor!$G$657&gt;=_motor!$B$670,_motor!$H$657&lt;0.5*_motor!$B$670),"Determinante / entorno",IF(AND(_motor!$G$657&gt;=_motor!$B$670,_motor!$H$657&lt;_motor!$B$670),"Palanca secundaria",IF(AND(_motor!$G$657&gt;=_motor!$B$670,_motor!$H$657&gt;=_motor!$B$670),"Clave / de enlace",IF(AND(_motor!$H$657&gt;=_motor!$B$670,_motor!$G$657&gt;=0.5*_motor!$B$670),"Objetivo",IF(_motor!$H$657&gt;=_motor!$B$670,"Resultado","Autónoma")))))))</f>
        <v/>
      </c>
    </row>
    <row r="78" spans="1:10" x14ac:dyDescent="0.2">
      <c r="A78" s="6" t="str">
        <f>IF(_motor!$B$658=0,"",'02 · Variables'!$B$79)</f>
        <v/>
      </c>
      <c r="B78" s="2" t="str">
        <f>IF(_motor!$B$658=0,"",'02 · Variables'!$C$79)</f>
        <v/>
      </c>
      <c r="C78" s="9" t="str">
        <f>IF(_motor!$B$658=0,"",_motor!$G$658)</f>
        <v/>
      </c>
      <c r="D78" s="9" t="str">
        <f>IF(_motor!$B$658=0,"",_motor!$H$658)</f>
        <v/>
      </c>
      <c r="E78" s="8" t="str">
        <f>IF(OR(_motor!$B$658=0,_motor!$B$674=0),"",_motor!$G$658/_motor!$B$674)</f>
        <v/>
      </c>
      <c r="F78" s="8" t="str">
        <f>IF(OR(_motor!$B$658=0,_motor!$B$674=0),"",_motor!$H$658/_motor!$B$674)</f>
        <v/>
      </c>
      <c r="G78" s="7" t="str">
        <f>IF(_motor!$B$658=0,"",SUMPRODUCT(_motor!$B$586:$B$665*(_motor!$G$586:$G$665&gt;_motor!$G$658))+(SUMPRODUCT(_motor!$B$586:$B$665*(_motor!$G$586:$G$665=_motor!$G$658))+1)/2)</f>
        <v/>
      </c>
      <c r="H78" s="7" t="str">
        <f>IF(_motor!$B$658=0,"",SUMPRODUCT(_motor!$B$586:$B$665*(_motor!$H$586:$H$665&gt;_motor!$H$658))+(SUMPRODUCT(_motor!$B$586:$B$665*(_motor!$H$586:$H$665=_motor!$H$658))+1)/2)</f>
        <v/>
      </c>
      <c r="I78" s="2" t="str">
        <f>IF(_motor!$B$658=0,"",IF(AND(ABS(_motor!$G$658-_motor!$B$670)&lt;=_motor!$B$678+0.000000001,ABS(_motor!$H$658-_motor!$B$670)&lt;=_motor!$B$678+0.000000001),"5 · Pelotón (no concluyente)",IF(AND(_motor!$G$658&gt;=_motor!$B$670,_motor!$H$658&lt;_motor!$B$670),"1 · Entrada / determinante",IF(AND(_motor!$G$658&gt;=_motor!$B$670,_motor!$H$658&gt;=_motor!$B$670),"2 · Intermedia / de enlace",IF(AND(_motor!$G$658&lt;_motor!$B$670,_motor!$H$658&gt;=_motor!$B$670),"3 · Resultado","4 · Excluida / autónoma")))))</f>
        <v/>
      </c>
      <c r="J78" s="2" t="str">
        <f>IF(_motor!$B$658=0,"",IF(AND(ABS(_motor!$G$658-_motor!$B$670)&lt;=_motor!$B$678+0.000000001,ABS(_motor!$H$658-_motor!$B$670)&lt;=_motor!$B$678+0.000000001),"Reguladora",IF(AND(_motor!$G$658&gt;=_motor!$B$670,_motor!$H$658&lt;0.5*_motor!$B$670),"Determinante / entorno",IF(AND(_motor!$G$658&gt;=_motor!$B$670,_motor!$H$658&lt;_motor!$B$670),"Palanca secundaria",IF(AND(_motor!$G$658&gt;=_motor!$B$670,_motor!$H$658&gt;=_motor!$B$670),"Clave / de enlace",IF(AND(_motor!$H$658&gt;=_motor!$B$670,_motor!$G$658&gt;=0.5*_motor!$B$670),"Objetivo",IF(_motor!$H$658&gt;=_motor!$B$670,"Resultado","Autónoma")))))))</f>
        <v/>
      </c>
    </row>
    <row r="79" spans="1:10" x14ac:dyDescent="0.2">
      <c r="A79" s="6" t="str">
        <f>IF(_motor!$B$659=0,"",'02 · Variables'!$B$80)</f>
        <v/>
      </c>
      <c r="B79" s="2" t="str">
        <f>IF(_motor!$B$659=0,"",'02 · Variables'!$C$80)</f>
        <v/>
      </c>
      <c r="C79" s="9" t="str">
        <f>IF(_motor!$B$659=0,"",_motor!$G$659)</f>
        <v/>
      </c>
      <c r="D79" s="9" t="str">
        <f>IF(_motor!$B$659=0,"",_motor!$H$659)</f>
        <v/>
      </c>
      <c r="E79" s="8" t="str">
        <f>IF(OR(_motor!$B$659=0,_motor!$B$674=0),"",_motor!$G$659/_motor!$B$674)</f>
        <v/>
      </c>
      <c r="F79" s="8" t="str">
        <f>IF(OR(_motor!$B$659=0,_motor!$B$674=0),"",_motor!$H$659/_motor!$B$674)</f>
        <v/>
      </c>
      <c r="G79" s="7" t="str">
        <f>IF(_motor!$B$659=0,"",SUMPRODUCT(_motor!$B$586:$B$665*(_motor!$G$586:$G$665&gt;_motor!$G$659))+(SUMPRODUCT(_motor!$B$586:$B$665*(_motor!$G$586:$G$665=_motor!$G$659))+1)/2)</f>
        <v/>
      </c>
      <c r="H79" s="7" t="str">
        <f>IF(_motor!$B$659=0,"",SUMPRODUCT(_motor!$B$586:$B$665*(_motor!$H$586:$H$665&gt;_motor!$H$659))+(SUMPRODUCT(_motor!$B$586:$B$665*(_motor!$H$586:$H$665=_motor!$H$659))+1)/2)</f>
        <v/>
      </c>
      <c r="I79" s="2" t="str">
        <f>IF(_motor!$B$659=0,"",IF(AND(ABS(_motor!$G$659-_motor!$B$670)&lt;=_motor!$B$678+0.000000001,ABS(_motor!$H$659-_motor!$B$670)&lt;=_motor!$B$678+0.000000001),"5 · Pelotón (no concluyente)",IF(AND(_motor!$G$659&gt;=_motor!$B$670,_motor!$H$659&lt;_motor!$B$670),"1 · Entrada / determinante",IF(AND(_motor!$G$659&gt;=_motor!$B$670,_motor!$H$659&gt;=_motor!$B$670),"2 · Intermedia / de enlace",IF(AND(_motor!$G$659&lt;_motor!$B$670,_motor!$H$659&gt;=_motor!$B$670),"3 · Resultado","4 · Excluida / autónoma")))))</f>
        <v/>
      </c>
      <c r="J79" s="2" t="str">
        <f>IF(_motor!$B$659=0,"",IF(AND(ABS(_motor!$G$659-_motor!$B$670)&lt;=_motor!$B$678+0.000000001,ABS(_motor!$H$659-_motor!$B$670)&lt;=_motor!$B$678+0.000000001),"Reguladora",IF(AND(_motor!$G$659&gt;=_motor!$B$670,_motor!$H$659&lt;0.5*_motor!$B$670),"Determinante / entorno",IF(AND(_motor!$G$659&gt;=_motor!$B$670,_motor!$H$659&lt;_motor!$B$670),"Palanca secundaria",IF(AND(_motor!$G$659&gt;=_motor!$B$670,_motor!$H$659&gt;=_motor!$B$670),"Clave / de enlace",IF(AND(_motor!$H$659&gt;=_motor!$B$670,_motor!$G$659&gt;=0.5*_motor!$B$670),"Objetivo",IF(_motor!$H$659&gt;=_motor!$B$670,"Resultado","Autónoma")))))))</f>
        <v/>
      </c>
    </row>
    <row r="80" spans="1:10" x14ac:dyDescent="0.2">
      <c r="A80" s="6" t="str">
        <f>IF(_motor!$B$660=0,"",'02 · Variables'!$B$81)</f>
        <v/>
      </c>
      <c r="B80" s="2" t="str">
        <f>IF(_motor!$B$660=0,"",'02 · Variables'!$C$81)</f>
        <v/>
      </c>
      <c r="C80" s="9" t="str">
        <f>IF(_motor!$B$660=0,"",_motor!$G$660)</f>
        <v/>
      </c>
      <c r="D80" s="9" t="str">
        <f>IF(_motor!$B$660=0,"",_motor!$H$660)</f>
        <v/>
      </c>
      <c r="E80" s="8" t="str">
        <f>IF(OR(_motor!$B$660=0,_motor!$B$674=0),"",_motor!$G$660/_motor!$B$674)</f>
        <v/>
      </c>
      <c r="F80" s="8" t="str">
        <f>IF(OR(_motor!$B$660=0,_motor!$B$674=0),"",_motor!$H$660/_motor!$B$674)</f>
        <v/>
      </c>
      <c r="G80" s="7" t="str">
        <f>IF(_motor!$B$660=0,"",SUMPRODUCT(_motor!$B$586:$B$665*(_motor!$G$586:$G$665&gt;_motor!$G$660))+(SUMPRODUCT(_motor!$B$586:$B$665*(_motor!$G$586:$G$665=_motor!$G$660))+1)/2)</f>
        <v/>
      </c>
      <c r="H80" s="7" t="str">
        <f>IF(_motor!$B$660=0,"",SUMPRODUCT(_motor!$B$586:$B$665*(_motor!$H$586:$H$665&gt;_motor!$H$660))+(SUMPRODUCT(_motor!$B$586:$B$665*(_motor!$H$586:$H$665=_motor!$H$660))+1)/2)</f>
        <v/>
      </c>
      <c r="I80" s="2" t="str">
        <f>IF(_motor!$B$660=0,"",IF(AND(ABS(_motor!$G$660-_motor!$B$670)&lt;=_motor!$B$678+0.000000001,ABS(_motor!$H$660-_motor!$B$670)&lt;=_motor!$B$678+0.000000001),"5 · Pelotón (no concluyente)",IF(AND(_motor!$G$660&gt;=_motor!$B$670,_motor!$H$660&lt;_motor!$B$670),"1 · Entrada / determinante",IF(AND(_motor!$G$660&gt;=_motor!$B$670,_motor!$H$660&gt;=_motor!$B$670),"2 · Intermedia / de enlace",IF(AND(_motor!$G$660&lt;_motor!$B$670,_motor!$H$660&gt;=_motor!$B$670),"3 · Resultado","4 · Excluida / autónoma")))))</f>
        <v/>
      </c>
      <c r="J80" s="2" t="str">
        <f>IF(_motor!$B$660=0,"",IF(AND(ABS(_motor!$G$660-_motor!$B$670)&lt;=_motor!$B$678+0.000000001,ABS(_motor!$H$660-_motor!$B$670)&lt;=_motor!$B$678+0.000000001),"Reguladora",IF(AND(_motor!$G$660&gt;=_motor!$B$670,_motor!$H$660&lt;0.5*_motor!$B$670),"Determinante / entorno",IF(AND(_motor!$G$660&gt;=_motor!$B$670,_motor!$H$660&lt;_motor!$B$670),"Palanca secundaria",IF(AND(_motor!$G$660&gt;=_motor!$B$670,_motor!$H$660&gt;=_motor!$B$670),"Clave / de enlace",IF(AND(_motor!$H$660&gt;=_motor!$B$670,_motor!$G$660&gt;=0.5*_motor!$B$670),"Objetivo",IF(_motor!$H$660&gt;=_motor!$B$670,"Resultado","Autónoma")))))))</f>
        <v/>
      </c>
    </row>
    <row r="81" spans="1:10" x14ac:dyDescent="0.2">
      <c r="A81" s="6" t="str">
        <f>IF(_motor!$B$661=0,"",'02 · Variables'!$B$82)</f>
        <v/>
      </c>
      <c r="B81" s="2" t="str">
        <f>IF(_motor!$B$661=0,"",'02 · Variables'!$C$82)</f>
        <v/>
      </c>
      <c r="C81" s="9" t="str">
        <f>IF(_motor!$B$661=0,"",_motor!$G$661)</f>
        <v/>
      </c>
      <c r="D81" s="9" t="str">
        <f>IF(_motor!$B$661=0,"",_motor!$H$661)</f>
        <v/>
      </c>
      <c r="E81" s="8" t="str">
        <f>IF(OR(_motor!$B$661=0,_motor!$B$674=0),"",_motor!$G$661/_motor!$B$674)</f>
        <v/>
      </c>
      <c r="F81" s="8" t="str">
        <f>IF(OR(_motor!$B$661=0,_motor!$B$674=0),"",_motor!$H$661/_motor!$B$674)</f>
        <v/>
      </c>
      <c r="G81" s="7" t="str">
        <f>IF(_motor!$B$661=0,"",SUMPRODUCT(_motor!$B$586:$B$665*(_motor!$G$586:$G$665&gt;_motor!$G$661))+(SUMPRODUCT(_motor!$B$586:$B$665*(_motor!$G$586:$G$665=_motor!$G$661))+1)/2)</f>
        <v/>
      </c>
      <c r="H81" s="7" t="str">
        <f>IF(_motor!$B$661=0,"",SUMPRODUCT(_motor!$B$586:$B$665*(_motor!$H$586:$H$665&gt;_motor!$H$661))+(SUMPRODUCT(_motor!$B$586:$B$665*(_motor!$H$586:$H$665=_motor!$H$661))+1)/2)</f>
        <v/>
      </c>
      <c r="I81" s="2" t="str">
        <f>IF(_motor!$B$661=0,"",IF(AND(ABS(_motor!$G$661-_motor!$B$670)&lt;=_motor!$B$678+0.000000001,ABS(_motor!$H$661-_motor!$B$670)&lt;=_motor!$B$678+0.000000001),"5 · Pelotón (no concluyente)",IF(AND(_motor!$G$661&gt;=_motor!$B$670,_motor!$H$661&lt;_motor!$B$670),"1 · Entrada / determinante",IF(AND(_motor!$G$661&gt;=_motor!$B$670,_motor!$H$661&gt;=_motor!$B$670),"2 · Intermedia / de enlace",IF(AND(_motor!$G$661&lt;_motor!$B$670,_motor!$H$661&gt;=_motor!$B$670),"3 · Resultado","4 · Excluida / autónoma")))))</f>
        <v/>
      </c>
      <c r="J81" s="2" t="str">
        <f>IF(_motor!$B$661=0,"",IF(AND(ABS(_motor!$G$661-_motor!$B$670)&lt;=_motor!$B$678+0.000000001,ABS(_motor!$H$661-_motor!$B$670)&lt;=_motor!$B$678+0.000000001),"Reguladora",IF(AND(_motor!$G$661&gt;=_motor!$B$670,_motor!$H$661&lt;0.5*_motor!$B$670),"Determinante / entorno",IF(AND(_motor!$G$661&gt;=_motor!$B$670,_motor!$H$661&lt;_motor!$B$670),"Palanca secundaria",IF(AND(_motor!$G$661&gt;=_motor!$B$670,_motor!$H$661&gt;=_motor!$B$670),"Clave / de enlace",IF(AND(_motor!$H$661&gt;=_motor!$B$670,_motor!$G$661&gt;=0.5*_motor!$B$670),"Objetivo",IF(_motor!$H$661&gt;=_motor!$B$670,"Resultado","Autónoma")))))))</f>
        <v/>
      </c>
    </row>
    <row r="82" spans="1:10" x14ac:dyDescent="0.2">
      <c r="A82" s="6" t="str">
        <f>IF(_motor!$B$662=0,"",'02 · Variables'!$B$83)</f>
        <v/>
      </c>
      <c r="B82" s="2" t="str">
        <f>IF(_motor!$B$662=0,"",'02 · Variables'!$C$83)</f>
        <v/>
      </c>
      <c r="C82" s="9" t="str">
        <f>IF(_motor!$B$662=0,"",_motor!$G$662)</f>
        <v/>
      </c>
      <c r="D82" s="9" t="str">
        <f>IF(_motor!$B$662=0,"",_motor!$H$662)</f>
        <v/>
      </c>
      <c r="E82" s="8" t="str">
        <f>IF(OR(_motor!$B$662=0,_motor!$B$674=0),"",_motor!$G$662/_motor!$B$674)</f>
        <v/>
      </c>
      <c r="F82" s="8" t="str">
        <f>IF(OR(_motor!$B$662=0,_motor!$B$674=0),"",_motor!$H$662/_motor!$B$674)</f>
        <v/>
      </c>
      <c r="G82" s="7" t="str">
        <f>IF(_motor!$B$662=0,"",SUMPRODUCT(_motor!$B$586:$B$665*(_motor!$G$586:$G$665&gt;_motor!$G$662))+(SUMPRODUCT(_motor!$B$586:$B$665*(_motor!$G$586:$G$665=_motor!$G$662))+1)/2)</f>
        <v/>
      </c>
      <c r="H82" s="7" t="str">
        <f>IF(_motor!$B$662=0,"",SUMPRODUCT(_motor!$B$586:$B$665*(_motor!$H$586:$H$665&gt;_motor!$H$662))+(SUMPRODUCT(_motor!$B$586:$B$665*(_motor!$H$586:$H$665=_motor!$H$662))+1)/2)</f>
        <v/>
      </c>
      <c r="I82" s="2" t="str">
        <f>IF(_motor!$B$662=0,"",IF(AND(ABS(_motor!$G$662-_motor!$B$670)&lt;=_motor!$B$678+0.000000001,ABS(_motor!$H$662-_motor!$B$670)&lt;=_motor!$B$678+0.000000001),"5 · Pelotón (no concluyente)",IF(AND(_motor!$G$662&gt;=_motor!$B$670,_motor!$H$662&lt;_motor!$B$670),"1 · Entrada / determinante",IF(AND(_motor!$G$662&gt;=_motor!$B$670,_motor!$H$662&gt;=_motor!$B$670),"2 · Intermedia / de enlace",IF(AND(_motor!$G$662&lt;_motor!$B$670,_motor!$H$662&gt;=_motor!$B$670),"3 · Resultado","4 · Excluida / autónoma")))))</f>
        <v/>
      </c>
      <c r="J82" s="2" t="str">
        <f>IF(_motor!$B$662=0,"",IF(AND(ABS(_motor!$G$662-_motor!$B$670)&lt;=_motor!$B$678+0.000000001,ABS(_motor!$H$662-_motor!$B$670)&lt;=_motor!$B$678+0.000000001),"Reguladora",IF(AND(_motor!$G$662&gt;=_motor!$B$670,_motor!$H$662&lt;0.5*_motor!$B$670),"Determinante / entorno",IF(AND(_motor!$G$662&gt;=_motor!$B$670,_motor!$H$662&lt;_motor!$B$670),"Palanca secundaria",IF(AND(_motor!$G$662&gt;=_motor!$B$670,_motor!$H$662&gt;=_motor!$B$670),"Clave / de enlace",IF(AND(_motor!$H$662&gt;=_motor!$B$670,_motor!$G$662&gt;=0.5*_motor!$B$670),"Objetivo",IF(_motor!$H$662&gt;=_motor!$B$670,"Resultado","Autónoma")))))))</f>
        <v/>
      </c>
    </row>
    <row r="83" spans="1:10" x14ac:dyDescent="0.2">
      <c r="A83" s="6" t="str">
        <f>IF(_motor!$B$663=0,"",'02 · Variables'!$B$84)</f>
        <v/>
      </c>
      <c r="B83" s="2" t="str">
        <f>IF(_motor!$B$663=0,"",'02 · Variables'!$C$84)</f>
        <v/>
      </c>
      <c r="C83" s="9" t="str">
        <f>IF(_motor!$B$663=0,"",_motor!$G$663)</f>
        <v/>
      </c>
      <c r="D83" s="9" t="str">
        <f>IF(_motor!$B$663=0,"",_motor!$H$663)</f>
        <v/>
      </c>
      <c r="E83" s="8" t="str">
        <f>IF(OR(_motor!$B$663=0,_motor!$B$674=0),"",_motor!$G$663/_motor!$B$674)</f>
        <v/>
      </c>
      <c r="F83" s="8" t="str">
        <f>IF(OR(_motor!$B$663=0,_motor!$B$674=0),"",_motor!$H$663/_motor!$B$674)</f>
        <v/>
      </c>
      <c r="G83" s="7" t="str">
        <f>IF(_motor!$B$663=0,"",SUMPRODUCT(_motor!$B$586:$B$665*(_motor!$G$586:$G$665&gt;_motor!$G$663))+(SUMPRODUCT(_motor!$B$586:$B$665*(_motor!$G$586:$G$665=_motor!$G$663))+1)/2)</f>
        <v/>
      </c>
      <c r="H83" s="7" t="str">
        <f>IF(_motor!$B$663=0,"",SUMPRODUCT(_motor!$B$586:$B$665*(_motor!$H$586:$H$665&gt;_motor!$H$663))+(SUMPRODUCT(_motor!$B$586:$B$665*(_motor!$H$586:$H$665=_motor!$H$663))+1)/2)</f>
        <v/>
      </c>
      <c r="I83" s="2" t="str">
        <f>IF(_motor!$B$663=0,"",IF(AND(ABS(_motor!$G$663-_motor!$B$670)&lt;=_motor!$B$678+0.000000001,ABS(_motor!$H$663-_motor!$B$670)&lt;=_motor!$B$678+0.000000001),"5 · Pelotón (no concluyente)",IF(AND(_motor!$G$663&gt;=_motor!$B$670,_motor!$H$663&lt;_motor!$B$670),"1 · Entrada / determinante",IF(AND(_motor!$G$663&gt;=_motor!$B$670,_motor!$H$663&gt;=_motor!$B$670),"2 · Intermedia / de enlace",IF(AND(_motor!$G$663&lt;_motor!$B$670,_motor!$H$663&gt;=_motor!$B$670),"3 · Resultado","4 · Excluida / autónoma")))))</f>
        <v/>
      </c>
      <c r="J83" s="2" t="str">
        <f>IF(_motor!$B$663=0,"",IF(AND(ABS(_motor!$G$663-_motor!$B$670)&lt;=_motor!$B$678+0.000000001,ABS(_motor!$H$663-_motor!$B$670)&lt;=_motor!$B$678+0.000000001),"Reguladora",IF(AND(_motor!$G$663&gt;=_motor!$B$670,_motor!$H$663&lt;0.5*_motor!$B$670),"Determinante / entorno",IF(AND(_motor!$G$663&gt;=_motor!$B$670,_motor!$H$663&lt;_motor!$B$670),"Palanca secundaria",IF(AND(_motor!$G$663&gt;=_motor!$B$670,_motor!$H$663&gt;=_motor!$B$670),"Clave / de enlace",IF(AND(_motor!$H$663&gt;=_motor!$B$670,_motor!$G$663&gt;=0.5*_motor!$B$670),"Objetivo",IF(_motor!$H$663&gt;=_motor!$B$670,"Resultado","Autónoma")))))))</f>
        <v/>
      </c>
    </row>
    <row r="84" spans="1:10" x14ac:dyDescent="0.2">
      <c r="A84" s="6" t="str">
        <f>IF(_motor!$B$664=0,"",'02 · Variables'!$B$85)</f>
        <v/>
      </c>
      <c r="B84" s="2" t="str">
        <f>IF(_motor!$B$664=0,"",'02 · Variables'!$C$85)</f>
        <v/>
      </c>
      <c r="C84" s="9" t="str">
        <f>IF(_motor!$B$664=0,"",_motor!$G$664)</f>
        <v/>
      </c>
      <c r="D84" s="9" t="str">
        <f>IF(_motor!$B$664=0,"",_motor!$H$664)</f>
        <v/>
      </c>
      <c r="E84" s="8" t="str">
        <f>IF(OR(_motor!$B$664=0,_motor!$B$674=0),"",_motor!$G$664/_motor!$B$674)</f>
        <v/>
      </c>
      <c r="F84" s="8" t="str">
        <f>IF(OR(_motor!$B$664=0,_motor!$B$674=0),"",_motor!$H$664/_motor!$B$674)</f>
        <v/>
      </c>
      <c r="G84" s="7" t="str">
        <f>IF(_motor!$B$664=0,"",SUMPRODUCT(_motor!$B$586:$B$665*(_motor!$G$586:$G$665&gt;_motor!$G$664))+(SUMPRODUCT(_motor!$B$586:$B$665*(_motor!$G$586:$G$665=_motor!$G$664))+1)/2)</f>
        <v/>
      </c>
      <c r="H84" s="7" t="str">
        <f>IF(_motor!$B$664=0,"",SUMPRODUCT(_motor!$B$586:$B$665*(_motor!$H$586:$H$665&gt;_motor!$H$664))+(SUMPRODUCT(_motor!$B$586:$B$665*(_motor!$H$586:$H$665=_motor!$H$664))+1)/2)</f>
        <v/>
      </c>
      <c r="I84" s="2" t="str">
        <f>IF(_motor!$B$664=0,"",IF(AND(ABS(_motor!$G$664-_motor!$B$670)&lt;=_motor!$B$678+0.000000001,ABS(_motor!$H$664-_motor!$B$670)&lt;=_motor!$B$678+0.000000001),"5 · Pelotón (no concluyente)",IF(AND(_motor!$G$664&gt;=_motor!$B$670,_motor!$H$664&lt;_motor!$B$670),"1 · Entrada / determinante",IF(AND(_motor!$G$664&gt;=_motor!$B$670,_motor!$H$664&gt;=_motor!$B$670),"2 · Intermedia / de enlace",IF(AND(_motor!$G$664&lt;_motor!$B$670,_motor!$H$664&gt;=_motor!$B$670),"3 · Resultado","4 · Excluida / autónoma")))))</f>
        <v/>
      </c>
      <c r="J84" s="2" t="str">
        <f>IF(_motor!$B$664=0,"",IF(AND(ABS(_motor!$G$664-_motor!$B$670)&lt;=_motor!$B$678+0.000000001,ABS(_motor!$H$664-_motor!$B$670)&lt;=_motor!$B$678+0.000000001),"Reguladora",IF(AND(_motor!$G$664&gt;=_motor!$B$670,_motor!$H$664&lt;0.5*_motor!$B$670),"Determinante / entorno",IF(AND(_motor!$G$664&gt;=_motor!$B$670,_motor!$H$664&lt;_motor!$B$670),"Palanca secundaria",IF(AND(_motor!$G$664&gt;=_motor!$B$670,_motor!$H$664&gt;=_motor!$B$670),"Clave / de enlace",IF(AND(_motor!$H$664&gt;=_motor!$B$670,_motor!$G$664&gt;=0.5*_motor!$B$670),"Objetivo",IF(_motor!$H$664&gt;=_motor!$B$670,"Resultado","Autónoma")))))))</f>
        <v/>
      </c>
    </row>
    <row r="85" spans="1:10" x14ac:dyDescent="0.2">
      <c r="A85" s="6" t="str">
        <f>IF(_motor!$B$665=0,"",'02 · Variables'!$B$86)</f>
        <v/>
      </c>
      <c r="B85" s="2" t="str">
        <f>IF(_motor!$B$665=0,"",'02 · Variables'!$C$86)</f>
        <v/>
      </c>
      <c r="C85" s="9" t="str">
        <f>IF(_motor!$B$665=0,"",_motor!$G$665)</f>
        <v/>
      </c>
      <c r="D85" s="9" t="str">
        <f>IF(_motor!$B$665=0,"",_motor!$H$665)</f>
        <v/>
      </c>
      <c r="E85" s="8" t="str">
        <f>IF(OR(_motor!$B$665=0,_motor!$B$674=0),"",_motor!$G$665/_motor!$B$674)</f>
        <v/>
      </c>
      <c r="F85" s="8" t="str">
        <f>IF(OR(_motor!$B$665=0,_motor!$B$674=0),"",_motor!$H$665/_motor!$B$674)</f>
        <v/>
      </c>
      <c r="G85" s="7" t="str">
        <f>IF(_motor!$B$665=0,"",SUMPRODUCT(_motor!$B$586:$B$665*(_motor!$G$586:$G$665&gt;_motor!$G$665))+(SUMPRODUCT(_motor!$B$586:$B$665*(_motor!$G$586:$G$665=_motor!$G$665))+1)/2)</f>
        <v/>
      </c>
      <c r="H85" s="7" t="str">
        <f>IF(_motor!$B$665=0,"",SUMPRODUCT(_motor!$B$586:$B$665*(_motor!$H$586:$H$665&gt;_motor!$H$665))+(SUMPRODUCT(_motor!$B$586:$B$665*(_motor!$H$586:$H$665=_motor!$H$665))+1)/2)</f>
        <v/>
      </c>
      <c r="I85" s="2" t="str">
        <f>IF(_motor!$B$665=0,"",IF(AND(ABS(_motor!$G$665-_motor!$B$670)&lt;=_motor!$B$678+0.000000001,ABS(_motor!$H$665-_motor!$B$670)&lt;=_motor!$B$678+0.000000001),"5 · Pelotón (no concluyente)",IF(AND(_motor!$G$665&gt;=_motor!$B$670,_motor!$H$665&lt;_motor!$B$670),"1 · Entrada / determinante",IF(AND(_motor!$G$665&gt;=_motor!$B$670,_motor!$H$665&gt;=_motor!$B$670),"2 · Intermedia / de enlace",IF(AND(_motor!$G$665&lt;_motor!$B$670,_motor!$H$665&gt;=_motor!$B$670),"3 · Resultado","4 · Excluida / autónoma")))))</f>
        <v/>
      </c>
      <c r="J85" s="2" t="str">
        <f>IF(_motor!$B$665=0,"",IF(AND(ABS(_motor!$G$665-_motor!$B$670)&lt;=_motor!$B$678+0.000000001,ABS(_motor!$H$665-_motor!$B$670)&lt;=_motor!$B$678+0.000000001),"Reguladora",IF(AND(_motor!$G$665&gt;=_motor!$B$670,_motor!$H$665&lt;0.5*_motor!$B$670),"Determinante / entorno",IF(AND(_motor!$G$665&gt;=_motor!$B$670,_motor!$H$665&lt;_motor!$B$670),"Palanca secundaria",IF(AND(_motor!$G$665&gt;=_motor!$B$670,_motor!$H$665&gt;=_motor!$B$670),"Clave / de enlace",IF(AND(_motor!$H$665&gt;=_motor!$B$670,_motor!$G$665&gt;=0.5*_motor!$B$670),"Objetivo",IF(_motor!$H$665&gt;=_motor!$B$670,"Resultado","Autónoma")))))))</f>
        <v/>
      </c>
    </row>
    <row r="87" spans="1:10" ht="30" x14ac:dyDescent="0.2">
      <c r="B87" s="1" t="s">
        <v>12</v>
      </c>
      <c r="C87" s="10">
        <f>_motor!$B$670</f>
        <v>0</v>
      </c>
    </row>
    <row r="88" spans="1:10" ht="30" x14ac:dyDescent="0.2">
      <c r="B88" s="1" t="s">
        <v>13</v>
      </c>
      <c r="C88" s="10">
        <f>_motor!$B$678</f>
        <v>0</v>
      </c>
    </row>
    <row r="89" spans="1:10" ht="23.75" customHeight="1" x14ac:dyDescent="0.2">
      <c r="B89" s="1" t="s">
        <v>14</v>
      </c>
      <c r="C89" s="120" t="s">
        <v>15</v>
      </c>
      <c r="D89" s="120"/>
      <c r="E89" s="120"/>
      <c r="F89" s="120"/>
      <c r="G89" s="120"/>
      <c r="H89" s="120"/>
      <c r="I89" s="120"/>
      <c r="J89" s="120"/>
    </row>
  </sheetData>
  <sheetProtection password="CD7E" sheet="1" formatCells="0" formatColumns="0" formatRows="0" insertRows="0"/>
  <mergeCells count="1">
    <mergeCell ref="C89:J89"/>
  </mergeCells>
  <conditionalFormatting sqref="I6:I85">
    <cfRule type="expression" dxfId="6" priority="2">
      <formula>ISNUMBER(SEARCH("1 ·",$I6))</formula>
    </cfRule>
    <cfRule type="expression" dxfId="5" priority="3">
      <formula>ISNUMBER(SEARCH("2 ·",$I6))</formula>
    </cfRule>
    <cfRule type="expression" dxfId="4" priority="4">
      <formula>ISNUMBER(SEARCH("3 ·",$I6))</formula>
    </cfRule>
    <cfRule type="expression" dxfId="3" priority="5">
      <formula>ISNUMBER(SEARCH("4 ·",$I6))</formula>
    </cfRule>
    <cfRule type="expression" dxfId="2" priority="6">
      <formula>ISNUMBER(SEARCH("5 ·",$I6))</formula>
    </cfRule>
  </conditionalFormatting>
  <pageMargins left="0.5" right="0.5" top="0.6" bottom="0.6" header="0.3" footer="0.3"/>
  <pageSetup paperSize="9" fitToHeight="0" orientation="landscape" horizontalDpi="300" verticalDpi="300"/>
  <headerFooter>
    <oddHeader>&amp;R&amp;"Aptos,Regular"&amp;8&amp;K94A0AE11 Res Potenciales</oddHeader>
    <oddFooter>&amp;L&amp;"Aptos,Regular"&amp;8&amp;K94A0AEIntelKIT · MICMAC Professional v1.0&amp;R&amp;"Aptos,Regular"&amp;8&amp;K94A0AEPágina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82C0"/>
    <pageSetUpPr fitToPage="1"/>
  </sheetPr>
  <dimension ref="A1:L94"/>
  <sheetViews>
    <sheetView showGridLines="0" zoomScaleNormal="100" workbookViewId="0">
      <pane xSplit="2" ySplit="5" topLeftCell="C6" activePane="bottomRight" state="frozen"/>
      <selection pane="topRight"/>
      <selection pane="bottomLeft"/>
      <selection pane="bottomRight"/>
    </sheetView>
  </sheetViews>
  <sheetFormatPr baseColWidth="10" defaultColWidth="8.6640625" defaultRowHeight="15" x14ac:dyDescent="0.2"/>
  <cols>
    <col min="1" max="1" width="9" customWidth="1"/>
    <col min="2" max="2" width="28" customWidth="1"/>
    <col min="3" max="4" width="12" customWidth="1"/>
    <col min="5" max="5" width="13" customWidth="1"/>
    <col min="6" max="6" width="14" customWidth="1"/>
    <col min="7" max="8" width="11" customWidth="1"/>
    <col min="9" max="9" width="26" customWidth="1"/>
    <col min="10" max="10" width="28" customWidth="1"/>
    <col min="11" max="11" width="16" customWidth="1"/>
    <col min="12" max="12" width="52" customWidth="1"/>
  </cols>
  <sheetData>
    <row r="1" spans="1:12" ht="24" customHeight="1" x14ac:dyDescent="0.2">
      <c r="A1" s="18"/>
      <c r="B1" s="17" t="s">
        <v>135</v>
      </c>
      <c r="C1" s="18" t="s">
        <v>383</v>
      </c>
      <c r="D1" s="18"/>
      <c r="E1" s="18"/>
      <c r="F1" s="18"/>
      <c r="G1" s="18"/>
      <c r="H1" s="18"/>
      <c r="I1" s="19" t="s">
        <v>380</v>
      </c>
    </row>
    <row r="2" spans="1:12" ht="26" customHeight="1" x14ac:dyDescent="0.2">
      <c r="B2" s="20" t="s">
        <v>22</v>
      </c>
    </row>
    <row r="3" spans="1:12" ht="22" customHeight="1" x14ac:dyDescent="0.2">
      <c r="B3" s="21" t="s">
        <v>23</v>
      </c>
    </row>
    <row r="5" spans="1:12" ht="30" x14ac:dyDescent="0.2">
      <c r="A5" s="5" t="s">
        <v>0</v>
      </c>
      <c r="B5" s="5" t="s">
        <v>3</v>
      </c>
      <c r="C5" s="5" t="s">
        <v>24</v>
      </c>
      <c r="D5" s="5" t="s">
        <v>25</v>
      </c>
      <c r="E5" s="5" t="s">
        <v>26</v>
      </c>
      <c r="F5" s="5" t="s">
        <v>27</v>
      </c>
      <c r="G5" s="5" t="s">
        <v>28</v>
      </c>
      <c r="H5" s="5" t="s">
        <v>29</v>
      </c>
      <c r="I5" s="5" t="s">
        <v>30</v>
      </c>
      <c r="J5" s="5" t="s">
        <v>31</v>
      </c>
      <c r="K5" s="5" t="s">
        <v>32</v>
      </c>
      <c r="L5" s="5" t="s">
        <v>33</v>
      </c>
    </row>
    <row r="6" spans="1:12" x14ac:dyDescent="0.2">
      <c r="A6" s="6" t="str">
        <f>IF(_motor!$B$586=0,"",'02 · Variables'!$B$7)</f>
        <v/>
      </c>
      <c r="B6" s="2" t="str">
        <f>IF(_motor!$B$586=0,"",'02 · Variables'!$C$7)</f>
        <v/>
      </c>
      <c r="C6" s="7" t="str">
        <f>IF(_motor!$B$586=0,"",SUMPRODUCT(_motor!$B$586:$B$665*(_motor!$C$586:$C$665&gt;_motor!$C$586))+(SUMPRODUCT(_motor!$B$586:$B$665*(_motor!$C$586:$C$665=_motor!$C$586))+1)/2)</f>
        <v/>
      </c>
      <c r="D6" s="7" t="str">
        <f>IF(_motor!$B$586=0,"",SUMPRODUCT(_motor!$B$586:$B$665*(_motor!$E$586:$E$665&gt;_motor!$E$586))+(SUMPRODUCT(_motor!$B$586:$B$665*(_motor!$E$586:$E$665=_motor!$E$586))+1)/2)</f>
        <v/>
      </c>
      <c r="E6" s="7" t="str">
        <f>IF(_motor!$B$586=0,"",SUMPRODUCT(_motor!$B$586:$B$665*(_motor!$G$586:$G$665&gt;_motor!$G$586))+(SUMPRODUCT(_motor!$B$586:$B$665*(_motor!$G$586:$G$665=_motor!$G$586))+1)/2)</f>
        <v/>
      </c>
      <c r="F6" s="7" t="str">
        <f>IF(_motor!$B$586=0,"",SUMPRODUCT(_motor!$B$586:$B$665*(_motor!$I$586:$I$665&gt;_motor!$I$586))+(SUMPRODUCT(_motor!$B$586:$B$665*(_motor!$I$586:$I$665=_motor!$I$586))+1)/2)</f>
        <v/>
      </c>
      <c r="G6" s="7" t="str">
        <f>IF(_motor!$B$586=0,"",C6-D6)</f>
        <v/>
      </c>
      <c r="H6" s="7" t="str">
        <f>IF(_motor!$B$586=0,"",C6-E6)</f>
        <v/>
      </c>
      <c r="I6" s="2" t="str">
        <f>IF(_motor!$B$586=0,"",IF(AND(ABS(_motor!$C$586-_motor!$B$668)&lt;=_motor!$B$676+0.000000001,ABS(_motor!$D$586-_motor!$B$668)&lt;=_motor!$B$676+0.000000001),"5 · Pelotón (no concluyente)",IF(AND(_motor!$C$586&gt;=_motor!$B$668,_motor!$D$586&lt;_motor!$B$668),"1 · Entrada / determinante",IF(AND(_motor!$C$586&gt;=_motor!$B$668,_motor!$D$586&gt;=_motor!$B$668),"2 · Intermedia / de enlace",IF(AND(_motor!$C$586&lt;_motor!$B$668,_motor!$D$586&gt;=_motor!$B$668),"3 · Resultado","4 · Excluida / autónoma")))))</f>
        <v/>
      </c>
      <c r="J6" s="2" t="str">
        <f>IF(_motor!$B$586=0,"",IF(AND(ABS(_motor!$I$586-_motor!$B$671)&lt;=_motor!$B$679+0.000000001,ABS(_motor!$J$586-_motor!$B$671)&lt;=_motor!$B$679+0.000000001),"5 · Pelotón (no concluyente)",IF(AND(_motor!$I$586&gt;=_motor!$B$671,_motor!$J$586&lt;_motor!$B$671),"1 · Entrada / determinante",IF(AND(_motor!$I$586&gt;=_motor!$B$671,_motor!$J$586&gt;=_motor!$B$671),"2 · Intermedia / de enlace",IF(AND(_motor!$I$586&lt;_motor!$B$671,_motor!$J$586&gt;=_motor!$B$671),"3 · Resultado","4 · Excluida / autónoma")))))</f>
        <v/>
      </c>
      <c r="K6" s="7" t="str">
        <f>IF(_motor!$B$586=0,"",IF(LEFT(I6,1)=LEFT(J6,1),"No","SÍ"))</f>
        <v/>
      </c>
      <c r="L6" s="2" t="str">
        <f>IF(_motor!$B$586=0,"",IF(AND(G6&gt;2,H6&gt;2),"Variable oculta y además latente: su peso real está muy infravalorado en la lectura directa. Prioridad máxima de seguimiento.",IF(G6&gt;2,"Variable oculta: gobierna el sistema a través de cadenas indirectas.",IF(H6&gt;2,"Variable latente: hoy es secundaria, pero ganará peso si las relaciones potenciales se materializan.",IF(AND(G6&lt;-2,H6&lt;-2),"Su importancia aparente en la lectura directa no se sostiene ni por vía indirecta ni potencial.","Comportamiento estable en las distintas clasificaciones.")))))</f>
        <v/>
      </c>
    </row>
    <row r="7" spans="1:12" x14ac:dyDescent="0.2">
      <c r="A7" s="6" t="str">
        <f>IF(_motor!$B$587=0,"",'02 · Variables'!$B$8)</f>
        <v/>
      </c>
      <c r="B7" s="2" t="str">
        <f>IF(_motor!$B$587=0,"",'02 · Variables'!$C$8)</f>
        <v/>
      </c>
      <c r="C7" s="7" t="str">
        <f>IF(_motor!$B$587=0,"",SUMPRODUCT(_motor!$B$586:$B$665*(_motor!$C$586:$C$665&gt;_motor!$C$587))+(SUMPRODUCT(_motor!$B$586:$B$665*(_motor!$C$586:$C$665=_motor!$C$587))+1)/2)</f>
        <v/>
      </c>
      <c r="D7" s="7" t="str">
        <f>IF(_motor!$B$587=0,"",SUMPRODUCT(_motor!$B$586:$B$665*(_motor!$E$586:$E$665&gt;_motor!$E$587))+(SUMPRODUCT(_motor!$B$586:$B$665*(_motor!$E$586:$E$665=_motor!$E$587))+1)/2)</f>
        <v/>
      </c>
      <c r="E7" s="7" t="str">
        <f>IF(_motor!$B$587=0,"",SUMPRODUCT(_motor!$B$586:$B$665*(_motor!$G$586:$G$665&gt;_motor!$G$587))+(SUMPRODUCT(_motor!$B$586:$B$665*(_motor!$G$586:$G$665=_motor!$G$587))+1)/2)</f>
        <v/>
      </c>
      <c r="F7" s="7" t="str">
        <f>IF(_motor!$B$587=0,"",SUMPRODUCT(_motor!$B$586:$B$665*(_motor!$I$586:$I$665&gt;_motor!$I$587))+(SUMPRODUCT(_motor!$B$586:$B$665*(_motor!$I$586:$I$665=_motor!$I$587))+1)/2)</f>
        <v/>
      </c>
      <c r="G7" s="7" t="str">
        <f>IF(_motor!$B$587=0,"",C7-D7)</f>
        <v/>
      </c>
      <c r="H7" s="7" t="str">
        <f>IF(_motor!$B$587=0,"",C7-E7)</f>
        <v/>
      </c>
      <c r="I7" s="2" t="str">
        <f>IF(_motor!$B$587=0,"",IF(AND(ABS(_motor!$C$587-_motor!$B$668)&lt;=_motor!$B$676+0.000000001,ABS(_motor!$D$587-_motor!$B$668)&lt;=_motor!$B$676+0.000000001),"5 · Pelotón (no concluyente)",IF(AND(_motor!$C$587&gt;=_motor!$B$668,_motor!$D$587&lt;_motor!$B$668),"1 · Entrada / determinante",IF(AND(_motor!$C$587&gt;=_motor!$B$668,_motor!$D$587&gt;=_motor!$B$668),"2 · Intermedia / de enlace",IF(AND(_motor!$C$587&lt;_motor!$B$668,_motor!$D$587&gt;=_motor!$B$668),"3 · Resultado","4 · Excluida / autónoma")))))</f>
        <v/>
      </c>
      <c r="J7" s="2" t="str">
        <f>IF(_motor!$B$587=0,"",IF(AND(ABS(_motor!$I$587-_motor!$B$671)&lt;=_motor!$B$679+0.000000001,ABS(_motor!$J$587-_motor!$B$671)&lt;=_motor!$B$679+0.000000001),"5 · Pelotón (no concluyente)",IF(AND(_motor!$I$587&gt;=_motor!$B$671,_motor!$J$587&lt;_motor!$B$671),"1 · Entrada / determinante",IF(AND(_motor!$I$587&gt;=_motor!$B$671,_motor!$J$587&gt;=_motor!$B$671),"2 · Intermedia / de enlace",IF(AND(_motor!$I$587&lt;_motor!$B$671,_motor!$J$587&gt;=_motor!$B$671),"3 · Resultado","4 · Excluida / autónoma")))))</f>
        <v/>
      </c>
      <c r="K7" s="7" t="str">
        <f>IF(_motor!$B$587=0,"",IF(LEFT(I7,1)=LEFT(J7,1),"No","SÍ"))</f>
        <v/>
      </c>
      <c r="L7" s="2" t="str">
        <f>IF(_motor!$B$587=0,"",IF(AND(G7&gt;2,H7&gt;2),"Variable oculta y además latente: su peso real está muy infravalorado en la lectura directa. Prioridad máxima de seguimiento.",IF(G7&gt;2,"Variable oculta: gobierna el sistema a través de cadenas indirectas.",IF(H7&gt;2,"Variable latente: hoy es secundaria, pero ganará peso si las relaciones potenciales se materializan.",IF(AND(G7&lt;-2,H7&lt;-2),"Su importancia aparente en la lectura directa no se sostiene ni por vía indirecta ni potencial.","Comportamiento estable en las distintas clasificaciones.")))))</f>
        <v/>
      </c>
    </row>
    <row r="8" spans="1:12" x14ac:dyDescent="0.2">
      <c r="A8" s="6" t="str">
        <f>IF(_motor!$B$588=0,"",'02 · Variables'!$B$9)</f>
        <v/>
      </c>
      <c r="B8" s="2" t="str">
        <f>IF(_motor!$B$588=0,"",'02 · Variables'!$C$9)</f>
        <v/>
      </c>
      <c r="C8" s="7" t="str">
        <f>IF(_motor!$B$588=0,"",SUMPRODUCT(_motor!$B$586:$B$665*(_motor!$C$586:$C$665&gt;_motor!$C$588))+(SUMPRODUCT(_motor!$B$586:$B$665*(_motor!$C$586:$C$665=_motor!$C$588))+1)/2)</f>
        <v/>
      </c>
      <c r="D8" s="7" t="str">
        <f>IF(_motor!$B$588=0,"",SUMPRODUCT(_motor!$B$586:$B$665*(_motor!$E$586:$E$665&gt;_motor!$E$588))+(SUMPRODUCT(_motor!$B$586:$B$665*(_motor!$E$586:$E$665=_motor!$E$588))+1)/2)</f>
        <v/>
      </c>
      <c r="E8" s="7" t="str">
        <f>IF(_motor!$B$588=0,"",SUMPRODUCT(_motor!$B$586:$B$665*(_motor!$G$586:$G$665&gt;_motor!$G$588))+(SUMPRODUCT(_motor!$B$586:$B$665*(_motor!$G$586:$G$665=_motor!$G$588))+1)/2)</f>
        <v/>
      </c>
      <c r="F8" s="7" t="str">
        <f>IF(_motor!$B$588=0,"",SUMPRODUCT(_motor!$B$586:$B$665*(_motor!$I$586:$I$665&gt;_motor!$I$588))+(SUMPRODUCT(_motor!$B$586:$B$665*(_motor!$I$586:$I$665=_motor!$I$588))+1)/2)</f>
        <v/>
      </c>
      <c r="G8" s="7" t="str">
        <f>IF(_motor!$B$588=0,"",C8-D8)</f>
        <v/>
      </c>
      <c r="H8" s="7" t="str">
        <f>IF(_motor!$B$588=0,"",C8-E8)</f>
        <v/>
      </c>
      <c r="I8" s="2" t="str">
        <f>IF(_motor!$B$588=0,"",IF(AND(ABS(_motor!$C$588-_motor!$B$668)&lt;=_motor!$B$676+0.000000001,ABS(_motor!$D$588-_motor!$B$668)&lt;=_motor!$B$676+0.000000001),"5 · Pelotón (no concluyente)",IF(AND(_motor!$C$588&gt;=_motor!$B$668,_motor!$D$588&lt;_motor!$B$668),"1 · Entrada / determinante",IF(AND(_motor!$C$588&gt;=_motor!$B$668,_motor!$D$588&gt;=_motor!$B$668),"2 · Intermedia / de enlace",IF(AND(_motor!$C$588&lt;_motor!$B$668,_motor!$D$588&gt;=_motor!$B$668),"3 · Resultado","4 · Excluida / autónoma")))))</f>
        <v/>
      </c>
      <c r="J8" s="2" t="str">
        <f>IF(_motor!$B$588=0,"",IF(AND(ABS(_motor!$I$588-_motor!$B$671)&lt;=_motor!$B$679+0.000000001,ABS(_motor!$J$588-_motor!$B$671)&lt;=_motor!$B$679+0.000000001),"5 · Pelotón (no concluyente)",IF(AND(_motor!$I$588&gt;=_motor!$B$671,_motor!$J$588&lt;_motor!$B$671),"1 · Entrada / determinante",IF(AND(_motor!$I$588&gt;=_motor!$B$671,_motor!$J$588&gt;=_motor!$B$671),"2 · Intermedia / de enlace",IF(AND(_motor!$I$588&lt;_motor!$B$671,_motor!$J$588&gt;=_motor!$B$671),"3 · Resultado","4 · Excluida / autónoma")))))</f>
        <v/>
      </c>
      <c r="K8" s="7" t="str">
        <f>IF(_motor!$B$588=0,"",IF(LEFT(I8,1)=LEFT(J8,1),"No","SÍ"))</f>
        <v/>
      </c>
      <c r="L8" s="2" t="str">
        <f>IF(_motor!$B$588=0,"",IF(AND(G8&gt;2,H8&gt;2),"Variable oculta y además latente: su peso real está muy infravalorado en la lectura directa. Prioridad máxima de seguimiento.",IF(G8&gt;2,"Variable oculta: gobierna el sistema a través de cadenas indirectas.",IF(H8&gt;2,"Variable latente: hoy es secundaria, pero ganará peso si las relaciones potenciales se materializan.",IF(AND(G8&lt;-2,H8&lt;-2),"Su importancia aparente en la lectura directa no se sostiene ni por vía indirecta ni potencial.","Comportamiento estable en las distintas clasificaciones.")))))</f>
        <v/>
      </c>
    </row>
    <row r="9" spans="1:12" x14ac:dyDescent="0.2">
      <c r="A9" s="6" t="str">
        <f>IF(_motor!$B$589=0,"",'02 · Variables'!$B$10)</f>
        <v/>
      </c>
      <c r="B9" s="2" t="str">
        <f>IF(_motor!$B$589=0,"",'02 · Variables'!$C$10)</f>
        <v/>
      </c>
      <c r="C9" s="7" t="str">
        <f>IF(_motor!$B$589=0,"",SUMPRODUCT(_motor!$B$586:$B$665*(_motor!$C$586:$C$665&gt;_motor!$C$589))+(SUMPRODUCT(_motor!$B$586:$B$665*(_motor!$C$586:$C$665=_motor!$C$589))+1)/2)</f>
        <v/>
      </c>
      <c r="D9" s="7" t="str">
        <f>IF(_motor!$B$589=0,"",SUMPRODUCT(_motor!$B$586:$B$665*(_motor!$E$586:$E$665&gt;_motor!$E$589))+(SUMPRODUCT(_motor!$B$586:$B$665*(_motor!$E$586:$E$665=_motor!$E$589))+1)/2)</f>
        <v/>
      </c>
      <c r="E9" s="7" t="str">
        <f>IF(_motor!$B$589=0,"",SUMPRODUCT(_motor!$B$586:$B$665*(_motor!$G$586:$G$665&gt;_motor!$G$589))+(SUMPRODUCT(_motor!$B$586:$B$665*(_motor!$G$586:$G$665=_motor!$G$589))+1)/2)</f>
        <v/>
      </c>
      <c r="F9" s="7" t="str">
        <f>IF(_motor!$B$589=0,"",SUMPRODUCT(_motor!$B$586:$B$665*(_motor!$I$586:$I$665&gt;_motor!$I$589))+(SUMPRODUCT(_motor!$B$586:$B$665*(_motor!$I$586:$I$665=_motor!$I$589))+1)/2)</f>
        <v/>
      </c>
      <c r="G9" s="7" t="str">
        <f>IF(_motor!$B$589=0,"",C9-D9)</f>
        <v/>
      </c>
      <c r="H9" s="7" t="str">
        <f>IF(_motor!$B$589=0,"",C9-E9)</f>
        <v/>
      </c>
      <c r="I9" s="2" t="str">
        <f>IF(_motor!$B$589=0,"",IF(AND(ABS(_motor!$C$589-_motor!$B$668)&lt;=_motor!$B$676+0.000000001,ABS(_motor!$D$589-_motor!$B$668)&lt;=_motor!$B$676+0.000000001),"5 · Pelotón (no concluyente)",IF(AND(_motor!$C$589&gt;=_motor!$B$668,_motor!$D$589&lt;_motor!$B$668),"1 · Entrada / determinante",IF(AND(_motor!$C$589&gt;=_motor!$B$668,_motor!$D$589&gt;=_motor!$B$668),"2 · Intermedia / de enlace",IF(AND(_motor!$C$589&lt;_motor!$B$668,_motor!$D$589&gt;=_motor!$B$668),"3 · Resultado","4 · Excluida / autónoma")))))</f>
        <v/>
      </c>
      <c r="J9" s="2" t="str">
        <f>IF(_motor!$B$589=0,"",IF(AND(ABS(_motor!$I$589-_motor!$B$671)&lt;=_motor!$B$679+0.000000001,ABS(_motor!$J$589-_motor!$B$671)&lt;=_motor!$B$679+0.000000001),"5 · Pelotón (no concluyente)",IF(AND(_motor!$I$589&gt;=_motor!$B$671,_motor!$J$589&lt;_motor!$B$671),"1 · Entrada / determinante",IF(AND(_motor!$I$589&gt;=_motor!$B$671,_motor!$J$589&gt;=_motor!$B$671),"2 · Intermedia / de enlace",IF(AND(_motor!$I$589&lt;_motor!$B$671,_motor!$J$589&gt;=_motor!$B$671),"3 · Resultado","4 · Excluida / autónoma")))))</f>
        <v/>
      </c>
      <c r="K9" s="7" t="str">
        <f>IF(_motor!$B$589=0,"",IF(LEFT(I9,1)=LEFT(J9,1),"No","SÍ"))</f>
        <v/>
      </c>
      <c r="L9" s="2" t="str">
        <f>IF(_motor!$B$589=0,"",IF(AND(G9&gt;2,H9&gt;2),"Variable oculta y además latente: su peso real está muy infravalorado en la lectura directa. Prioridad máxima de seguimiento.",IF(G9&gt;2,"Variable oculta: gobierna el sistema a través de cadenas indirectas.",IF(H9&gt;2,"Variable latente: hoy es secundaria, pero ganará peso si las relaciones potenciales se materializan.",IF(AND(G9&lt;-2,H9&lt;-2),"Su importancia aparente en la lectura directa no se sostiene ni por vía indirecta ni potencial.","Comportamiento estable en las distintas clasificaciones.")))))</f>
        <v/>
      </c>
    </row>
    <row r="10" spans="1:12" x14ac:dyDescent="0.2">
      <c r="A10" s="6" t="str">
        <f>IF(_motor!$B$590=0,"",'02 · Variables'!$B$11)</f>
        <v/>
      </c>
      <c r="B10" s="2" t="str">
        <f>IF(_motor!$B$590=0,"",'02 · Variables'!$C$11)</f>
        <v/>
      </c>
      <c r="C10" s="7" t="str">
        <f>IF(_motor!$B$590=0,"",SUMPRODUCT(_motor!$B$586:$B$665*(_motor!$C$586:$C$665&gt;_motor!$C$590))+(SUMPRODUCT(_motor!$B$586:$B$665*(_motor!$C$586:$C$665=_motor!$C$590))+1)/2)</f>
        <v/>
      </c>
      <c r="D10" s="7" t="str">
        <f>IF(_motor!$B$590=0,"",SUMPRODUCT(_motor!$B$586:$B$665*(_motor!$E$586:$E$665&gt;_motor!$E$590))+(SUMPRODUCT(_motor!$B$586:$B$665*(_motor!$E$586:$E$665=_motor!$E$590))+1)/2)</f>
        <v/>
      </c>
      <c r="E10" s="7" t="str">
        <f>IF(_motor!$B$590=0,"",SUMPRODUCT(_motor!$B$586:$B$665*(_motor!$G$586:$G$665&gt;_motor!$G$590))+(SUMPRODUCT(_motor!$B$586:$B$665*(_motor!$G$586:$G$665=_motor!$G$590))+1)/2)</f>
        <v/>
      </c>
      <c r="F10" s="7" t="str">
        <f>IF(_motor!$B$590=0,"",SUMPRODUCT(_motor!$B$586:$B$665*(_motor!$I$586:$I$665&gt;_motor!$I$590))+(SUMPRODUCT(_motor!$B$586:$B$665*(_motor!$I$586:$I$665=_motor!$I$590))+1)/2)</f>
        <v/>
      </c>
      <c r="G10" s="7" t="str">
        <f>IF(_motor!$B$590=0,"",C10-D10)</f>
        <v/>
      </c>
      <c r="H10" s="7" t="str">
        <f>IF(_motor!$B$590=0,"",C10-E10)</f>
        <v/>
      </c>
      <c r="I10" s="2" t="str">
        <f>IF(_motor!$B$590=0,"",IF(AND(ABS(_motor!$C$590-_motor!$B$668)&lt;=_motor!$B$676+0.000000001,ABS(_motor!$D$590-_motor!$B$668)&lt;=_motor!$B$676+0.000000001),"5 · Pelotón (no concluyente)",IF(AND(_motor!$C$590&gt;=_motor!$B$668,_motor!$D$590&lt;_motor!$B$668),"1 · Entrada / determinante",IF(AND(_motor!$C$590&gt;=_motor!$B$668,_motor!$D$590&gt;=_motor!$B$668),"2 · Intermedia / de enlace",IF(AND(_motor!$C$590&lt;_motor!$B$668,_motor!$D$590&gt;=_motor!$B$668),"3 · Resultado","4 · Excluida / autónoma")))))</f>
        <v/>
      </c>
      <c r="J10" s="2" t="str">
        <f>IF(_motor!$B$590=0,"",IF(AND(ABS(_motor!$I$590-_motor!$B$671)&lt;=_motor!$B$679+0.000000001,ABS(_motor!$J$590-_motor!$B$671)&lt;=_motor!$B$679+0.000000001),"5 · Pelotón (no concluyente)",IF(AND(_motor!$I$590&gt;=_motor!$B$671,_motor!$J$590&lt;_motor!$B$671),"1 · Entrada / determinante",IF(AND(_motor!$I$590&gt;=_motor!$B$671,_motor!$J$590&gt;=_motor!$B$671),"2 · Intermedia / de enlace",IF(AND(_motor!$I$590&lt;_motor!$B$671,_motor!$J$590&gt;=_motor!$B$671),"3 · Resultado","4 · Excluida / autónoma")))))</f>
        <v/>
      </c>
      <c r="K10" s="7" t="str">
        <f>IF(_motor!$B$590=0,"",IF(LEFT(I10,1)=LEFT(J10,1),"No","SÍ"))</f>
        <v/>
      </c>
      <c r="L10" s="2" t="str">
        <f>IF(_motor!$B$590=0,"",IF(AND(G10&gt;2,H10&gt;2),"Variable oculta y además latente: su peso real está muy infravalorado en la lectura directa. Prioridad máxima de seguimiento.",IF(G10&gt;2,"Variable oculta: gobierna el sistema a través de cadenas indirectas.",IF(H10&gt;2,"Variable latente: hoy es secundaria, pero ganará peso si las relaciones potenciales se materializan.",IF(AND(G10&lt;-2,H10&lt;-2),"Su importancia aparente en la lectura directa no se sostiene ni por vía indirecta ni potencial.","Comportamiento estable en las distintas clasificaciones.")))))</f>
        <v/>
      </c>
    </row>
    <row r="11" spans="1:12" x14ac:dyDescent="0.2">
      <c r="A11" s="6" t="str">
        <f>IF(_motor!$B$591=0,"",'02 · Variables'!$B$12)</f>
        <v/>
      </c>
      <c r="B11" s="2" t="str">
        <f>IF(_motor!$B$591=0,"",'02 · Variables'!$C$12)</f>
        <v/>
      </c>
      <c r="C11" s="7" t="str">
        <f>IF(_motor!$B$591=0,"",SUMPRODUCT(_motor!$B$586:$B$665*(_motor!$C$586:$C$665&gt;_motor!$C$591))+(SUMPRODUCT(_motor!$B$586:$B$665*(_motor!$C$586:$C$665=_motor!$C$591))+1)/2)</f>
        <v/>
      </c>
      <c r="D11" s="7" t="str">
        <f>IF(_motor!$B$591=0,"",SUMPRODUCT(_motor!$B$586:$B$665*(_motor!$E$586:$E$665&gt;_motor!$E$591))+(SUMPRODUCT(_motor!$B$586:$B$665*(_motor!$E$586:$E$665=_motor!$E$591))+1)/2)</f>
        <v/>
      </c>
      <c r="E11" s="7" t="str">
        <f>IF(_motor!$B$591=0,"",SUMPRODUCT(_motor!$B$586:$B$665*(_motor!$G$586:$G$665&gt;_motor!$G$591))+(SUMPRODUCT(_motor!$B$586:$B$665*(_motor!$G$586:$G$665=_motor!$G$591))+1)/2)</f>
        <v/>
      </c>
      <c r="F11" s="7" t="str">
        <f>IF(_motor!$B$591=0,"",SUMPRODUCT(_motor!$B$586:$B$665*(_motor!$I$586:$I$665&gt;_motor!$I$591))+(SUMPRODUCT(_motor!$B$586:$B$665*(_motor!$I$586:$I$665=_motor!$I$591))+1)/2)</f>
        <v/>
      </c>
      <c r="G11" s="7" t="str">
        <f>IF(_motor!$B$591=0,"",C11-D11)</f>
        <v/>
      </c>
      <c r="H11" s="7" t="str">
        <f>IF(_motor!$B$591=0,"",C11-E11)</f>
        <v/>
      </c>
      <c r="I11" s="2" t="str">
        <f>IF(_motor!$B$591=0,"",IF(AND(ABS(_motor!$C$591-_motor!$B$668)&lt;=_motor!$B$676+0.000000001,ABS(_motor!$D$591-_motor!$B$668)&lt;=_motor!$B$676+0.000000001),"5 · Pelotón (no concluyente)",IF(AND(_motor!$C$591&gt;=_motor!$B$668,_motor!$D$591&lt;_motor!$B$668),"1 · Entrada / determinante",IF(AND(_motor!$C$591&gt;=_motor!$B$668,_motor!$D$591&gt;=_motor!$B$668),"2 · Intermedia / de enlace",IF(AND(_motor!$C$591&lt;_motor!$B$668,_motor!$D$591&gt;=_motor!$B$668),"3 · Resultado","4 · Excluida / autónoma")))))</f>
        <v/>
      </c>
      <c r="J11" s="2" t="str">
        <f>IF(_motor!$B$591=0,"",IF(AND(ABS(_motor!$I$591-_motor!$B$671)&lt;=_motor!$B$679+0.000000001,ABS(_motor!$J$591-_motor!$B$671)&lt;=_motor!$B$679+0.000000001),"5 · Pelotón (no concluyente)",IF(AND(_motor!$I$591&gt;=_motor!$B$671,_motor!$J$591&lt;_motor!$B$671),"1 · Entrada / determinante",IF(AND(_motor!$I$591&gt;=_motor!$B$671,_motor!$J$591&gt;=_motor!$B$671),"2 · Intermedia / de enlace",IF(AND(_motor!$I$591&lt;_motor!$B$671,_motor!$J$591&gt;=_motor!$B$671),"3 · Resultado","4 · Excluida / autónoma")))))</f>
        <v/>
      </c>
      <c r="K11" s="7" t="str">
        <f>IF(_motor!$B$591=0,"",IF(LEFT(I11,1)=LEFT(J11,1),"No","SÍ"))</f>
        <v/>
      </c>
      <c r="L11" s="2" t="str">
        <f>IF(_motor!$B$591=0,"",IF(AND(G11&gt;2,H11&gt;2),"Variable oculta y además latente: su peso real está muy infravalorado en la lectura directa. Prioridad máxima de seguimiento.",IF(G11&gt;2,"Variable oculta: gobierna el sistema a través de cadenas indirectas.",IF(H11&gt;2,"Variable latente: hoy es secundaria, pero ganará peso si las relaciones potenciales se materializan.",IF(AND(G11&lt;-2,H11&lt;-2),"Su importancia aparente en la lectura directa no se sostiene ni por vía indirecta ni potencial.","Comportamiento estable en las distintas clasificaciones.")))))</f>
        <v/>
      </c>
    </row>
    <row r="12" spans="1:12" x14ac:dyDescent="0.2">
      <c r="A12" s="6" t="str">
        <f>IF(_motor!$B$592=0,"",'02 · Variables'!$B$13)</f>
        <v/>
      </c>
      <c r="B12" s="2" t="str">
        <f>IF(_motor!$B$592=0,"",'02 · Variables'!$C$13)</f>
        <v/>
      </c>
      <c r="C12" s="7" t="str">
        <f>IF(_motor!$B$592=0,"",SUMPRODUCT(_motor!$B$586:$B$665*(_motor!$C$586:$C$665&gt;_motor!$C$592))+(SUMPRODUCT(_motor!$B$586:$B$665*(_motor!$C$586:$C$665=_motor!$C$592))+1)/2)</f>
        <v/>
      </c>
      <c r="D12" s="7" t="str">
        <f>IF(_motor!$B$592=0,"",SUMPRODUCT(_motor!$B$586:$B$665*(_motor!$E$586:$E$665&gt;_motor!$E$592))+(SUMPRODUCT(_motor!$B$586:$B$665*(_motor!$E$586:$E$665=_motor!$E$592))+1)/2)</f>
        <v/>
      </c>
      <c r="E12" s="7" t="str">
        <f>IF(_motor!$B$592=0,"",SUMPRODUCT(_motor!$B$586:$B$665*(_motor!$G$586:$G$665&gt;_motor!$G$592))+(SUMPRODUCT(_motor!$B$586:$B$665*(_motor!$G$586:$G$665=_motor!$G$592))+1)/2)</f>
        <v/>
      </c>
      <c r="F12" s="7" t="str">
        <f>IF(_motor!$B$592=0,"",SUMPRODUCT(_motor!$B$586:$B$665*(_motor!$I$586:$I$665&gt;_motor!$I$592))+(SUMPRODUCT(_motor!$B$586:$B$665*(_motor!$I$586:$I$665=_motor!$I$592))+1)/2)</f>
        <v/>
      </c>
      <c r="G12" s="7" t="str">
        <f>IF(_motor!$B$592=0,"",C12-D12)</f>
        <v/>
      </c>
      <c r="H12" s="7" t="str">
        <f>IF(_motor!$B$592=0,"",C12-E12)</f>
        <v/>
      </c>
      <c r="I12" s="2" t="str">
        <f>IF(_motor!$B$592=0,"",IF(AND(ABS(_motor!$C$592-_motor!$B$668)&lt;=_motor!$B$676+0.000000001,ABS(_motor!$D$592-_motor!$B$668)&lt;=_motor!$B$676+0.000000001),"5 · Pelotón (no concluyente)",IF(AND(_motor!$C$592&gt;=_motor!$B$668,_motor!$D$592&lt;_motor!$B$668),"1 · Entrada / determinante",IF(AND(_motor!$C$592&gt;=_motor!$B$668,_motor!$D$592&gt;=_motor!$B$668),"2 · Intermedia / de enlace",IF(AND(_motor!$C$592&lt;_motor!$B$668,_motor!$D$592&gt;=_motor!$B$668),"3 · Resultado","4 · Excluida / autónoma")))))</f>
        <v/>
      </c>
      <c r="J12" s="2" t="str">
        <f>IF(_motor!$B$592=0,"",IF(AND(ABS(_motor!$I$592-_motor!$B$671)&lt;=_motor!$B$679+0.000000001,ABS(_motor!$J$592-_motor!$B$671)&lt;=_motor!$B$679+0.000000001),"5 · Pelotón (no concluyente)",IF(AND(_motor!$I$592&gt;=_motor!$B$671,_motor!$J$592&lt;_motor!$B$671),"1 · Entrada / determinante",IF(AND(_motor!$I$592&gt;=_motor!$B$671,_motor!$J$592&gt;=_motor!$B$671),"2 · Intermedia / de enlace",IF(AND(_motor!$I$592&lt;_motor!$B$671,_motor!$J$592&gt;=_motor!$B$671),"3 · Resultado","4 · Excluida / autónoma")))))</f>
        <v/>
      </c>
      <c r="K12" s="7" t="str">
        <f>IF(_motor!$B$592=0,"",IF(LEFT(I12,1)=LEFT(J12,1),"No","SÍ"))</f>
        <v/>
      </c>
      <c r="L12" s="2" t="str">
        <f>IF(_motor!$B$592=0,"",IF(AND(G12&gt;2,H12&gt;2),"Variable oculta y además latente: su peso real está muy infravalorado en la lectura directa. Prioridad máxima de seguimiento.",IF(G12&gt;2,"Variable oculta: gobierna el sistema a través de cadenas indirectas.",IF(H12&gt;2,"Variable latente: hoy es secundaria, pero ganará peso si las relaciones potenciales se materializan.",IF(AND(G12&lt;-2,H12&lt;-2),"Su importancia aparente en la lectura directa no se sostiene ni por vía indirecta ni potencial.","Comportamiento estable en las distintas clasificaciones.")))))</f>
        <v/>
      </c>
    </row>
    <row r="13" spans="1:12" x14ac:dyDescent="0.2">
      <c r="A13" s="6" t="str">
        <f>IF(_motor!$B$593=0,"",'02 · Variables'!$B$14)</f>
        <v/>
      </c>
      <c r="B13" s="2" t="str">
        <f>IF(_motor!$B$593=0,"",'02 · Variables'!$C$14)</f>
        <v/>
      </c>
      <c r="C13" s="7" t="str">
        <f>IF(_motor!$B$593=0,"",SUMPRODUCT(_motor!$B$586:$B$665*(_motor!$C$586:$C$665&gt;_motor!$C$593))+(SUMPRODUCT(_motor!$B$586:$B$665*(_motor!$C$586:$C$665=_motor!$C$593))+1)/2)</f>
        <v/>
      </c>
      <c r="D13" s="7" t="str">
        <f>IF(_motor!$B$593=0,"",SUMPRODUCT(_motor!$B$586:$B$665*(_motor!$E$586:$E$665&gt;_motor!$E$593))+(SUMPRODUCT(_motor!$B$586:$B$665*(_motor!$E$586:$E$665=_motor!$E$593))+1)/2)</f>
        <v/>
      </c>
      <c r="E13" s="7" t="str">
        <f>IF(_motor!$B$593=0,"",SUMPRODUCT(_motor!$B$586:$B$665*(_motor!$G$586:$G$665&gt;_motor!$G$593))+(SUMPRODUCT(_motor!$B$586:$B$665*(_motor!$G$586:$G$665=_motor!$G$593))+1)/2)</f>
        <v/>
      </c>
      <c r="F13" s="7" t="str">
        <f>IF(_motor!$B$593=0,"",SUMPRODUCT(_motor!$B$586:$B$665*(_motor!$I$586:$I$665&gt;_motor!$I$593))+(SUMPRODUCT(_motor!$B$586:$B$665*(_motor!$I$586:$I$665=_motor!$I$593))+1)/2)</f>
        <v/>
      </c>
      <c r="G13" s="7" t="str">
        <f>IF(_motor!$B$593=0,"",C13-D13)</f>
        <v/>
      </c>
      <c r="H13" s="7" t="str">
        <f>IF(_motor!$B$593=0,"",C13-E13)</f>
        <v/>
      </c>
      <c r="I13" s="2" t="str">
        <f>IF(_motor!$B$593=0,"",IF(AND(ABS(_motor!$C$593-_motor!$B$668)&lt;=_motor!$B$676+0.000000001,ABS(_motor!$D$593-_motor!$B$668)&lt;=_motor!$B$676+0.000000001),"5 · Pelotón (no concluyente)",IF(AND(_motor!$C$593&gt;=_motor!$B$668,_motor!$D$593&lt;_motor!$B$668),"1 · Entrada / determinante",IF(AND(_motor!$C$593&gt;=_motor!$B$668,_motor!$D$593&gt;=_motor!$B$668),"2 · Intermedia / de enlace",IF(AND(_motor!$C$593&lt;_motor!$B$668,_motor!$D$593&gt;=_motor!$B$668),"3 · Resultado","4 · Excluida / autónoma")))))</f>
        <v/>
      </c>
      <c r="J13" s="2" t="str">
        <f>IF(_motor!$B$593=0,"",IF(AND(ABS(_motor!$I$593-_motor!$B$671)&lt;=_motor!$B$679+0.000000001,ABS(_motor!$J$593-_motor!$B$671)&lt;=_motor!$B$679+0.000000001),"5 · Pelotón (no concluyente)",IF(AND(_motor!$I$593&gt;=_motor!$B$671,_motor!$J$593&lt;_motor!$B$671),"1 · Entrada / determinante",IF(AND(_motor!$I$593&gt;=_motor!$B$671,_motor!$J$593&gt;=_motor!$B$671),"2 · Intermedia / de enlace",IF(AND(_motor!$I$593&lt;_motor!$B$671,_motor!$J$593&gt;=_motor!$B$671),"3 · Resultado","4 · Excluida / autónoma")))))</f>
        <v/>
      </c>
      <c r="K13" s="7" t="str">
        <f>IF(_motor!$B$593=0,"",IF(LEFT(I13,1)=LEFT(J13,1),"No","SÍ"))</f>
        <v/>
      </c>
      <c r="L13" s="2" t="str">
        <f>IF(_motor!$B$593=0,"",IF(AND(G13&gt;2,H13&gt;2),"Variable oculta y además latente: su peso real está muy infravalorado en la lectura directa. Prioridad máxima de seguimiento.",IF(G13&gt;2,"Variable oculta: gobierna el sistema a través de cadenas indirectas.",IF(H13&gt;2,"Variable latente: hoy es secundaria, pero ganará peso si las relaciones potenciales se materializan.",IF(AND(G13&lt;-2,H13&lt;-2),"Su importancia aparente en la lectura directa no se sostiene ni por vía indirecta ni potencial.","Comportamiento estable en las distintas clasificaciones.")))))</f>
        <v/>
      </c>
    </row>
    <row r="14" spans="1:12" x14ac:dyDescent="0.2">
      <c r="A14" s="6" t="str">
        <f>IF(_motor!$B$594=0,"",'02 · Variables'!$B$15)</f>
        <v/>
      </c>
      <c r="B14" s="2" t="str">
        <f>IF(_motor!$B$594=0,"",'02 · Variables'!$C$15)</f>
        <v/>
      </c>
      <c r="C14" s="7" t="str">
        <f>IF(_motor!$B$594=0,"",SUMPRODUCT(_motor!$B$586:$B$665*(_motor!$C$586:$C$665&gt;_motor!$C$594))+(SUMPRODUCT(_motor!$B$586:$B$665*(_motor!$C$586:$C$665=_motor!$C$594))+1)/2)</f>
        <v/>
      </c>
      <c r="D14" s="7" t="str">
        <f>IF(_motor!$B$594=0,"",SUMPRODUCT(_motor!$B$586:$B$665*(_motor!$E$586:$E$665&gt;_motor!$E$594))+(SUMPRODUCT(_motor!$B$586:$B$665*(_motor!$E$586:$E$665=_motor!$E$594))+1)/2)</f>
        <v/>
      </c>
      <c r="E14" s="7" t="str">
        <f>IF(_motor!$B$594=0,"",SUMPRODUCT(_motor!$B$586:$B$665*(_motor!$G$586:$G$665&gt;_motor!$G$594))+(SUMPRODUCT(_motor!$B$586:$B$665*(_motor!$G$586:$G$665=_motor!$G$594))+1)/2)</f>
        <v/>
      </c>
      <c r="F14" s="7" t="str">
        <f>IF(_motor!$B$594=0,"",SUMPRODUCT(_motor!$B$586:$B$665*(_motor!$I$586:$I$665&gt;_motor!$I$594))+(SUMPRODUCT(_motor!$B$586:$B$665*(_motor!$I$586:$I$665=_motor!$I$594))+1)/2)</f>
        <v/>
      </c>
      <c r="G14" s="7" t="str">
        <f>IF(_motor!$B$594=0,"",C14-D14)</f>
        <v/>
      </c>
      <c r="H14" s="7" t="str">
        <f>IF(_motor!$B$594=0,"",C14-E14)</f>
        <v/>
      </c>
      <c r="I14" s="2" t="str">
        <f>IF(_motor!$B$594=0,"",IF(AND(ABS(_motor!$C$594-_motor!$B$668)&lt;=_motor!$B$676+0.000000001,ABS(_motor!$D$594-_motor!$B$668)&lt;=_motor!$B$676+0.000000001),"5 · Pelotón (no concluyente)",IF(AND(_motor!$C$594&gt;=_motor!$B$668,_motor!$D$594&lt;_motor!$B$668),"1 · Entrada / determinante",IF(AND(_motor!$C$594&gt;=_motor!$B$668,_motor!$D$594&gt;=_motor!$B$668),"2 · Intermedia / de enlace",IF(AND(_motor!$C$594&lt;_motor!$B$668,_motor!$D$594&gt;=_motor!$B$668),"3 · Resultado","4 · Excluida / autónoma")))))</f>
        <v/>
      </c>
      <c r="J14" s="2" t="str">
        <f>IF(_motor!$B$594=0,"",IF(AND(ABS(_motor!$I$594-_motor!$B$671)&lt;=_motor!$B$679+0.000000001,ABS(_motor!$J$594-_motor!$B$671)&lt;=_motor!$B$679+0.000000001),"5 · Pelotón (no concluyente)",IF(AND(_motor!$I$594&gt;=_motor!$B$671,_motor!$J$594&lt;_motor!$B$671),"1 · Entrada / determinante",IF(AND(_motor!$I$594&gt;=_motor!$B$671,_motor!$J$594&gt;=_motor!$B$671),"2 · Intermedia / de enlace",IF(AND(_motor!$I$594&lt;_motor!$B$671,_motor!$J$594&gt;=_motor!$B$671),"3 · Resultado","4 · Excluida / autónoma")))))</f>
        <v/>
      </c>
      <c r="K14" s="7" t="str">
        <f>IF(_motor!$B$594=0,"",IF(LEFT(I14,1)=LEFT(J14,1),"No","SÍ"))</f>
        <v/>
      </c>
      <c r="L14" s="2" t="str">
        <f>IF(_motor!$B$594=0,"",IF(AND(G14&gt;2,H14&gt;2),"Variable oculta y además latente: su peso real está muy infravalorado en la lectura directa. Prioridad máxima de seguimiento.",IF(G14&gt;2,"Variable oculta: gobierna el sistema a través de cadenas indirectas.",IF(H14&gt;2,"Variable latente: hoy es secundaria, pero ganará peso si las relaciones potenciales se materializan.",IF(AND(G14&lt;-2,H14&lt;-2),"Su importancia aparente en la lectura directa no se sostiene ni por vía indirecta ni potencial.","Comportamiento estable en las distintas clasificaciones.")))))</f>
        <v/>
      </c>
    </row>
    <row r="15" spans="1:12" x14ac:dyDescent="0.2">
      <c r="A15" s="6" t="str">
        <f>IF(_motor!$B$595=0,"",'02 · Variables'!$B$16)</f>
        <v/>
      </c>
      <c r="B15" s="2" t="str">
        <f>IF(_motor!$B$595=0,"",'02 · Variables'!$C$16)</f>
        <v/>
      </c>
      <c r="C15" s="7" t="str">
        <f>IF(_motor!$B$595=0,"",SUMPRODUCT(_motor!$B$586:$B$665*(_motor!$C$586:$C$665&gt;_motor!$C$595))+(SUMPRODUCT(_motor!$B$586:$B$665*(_motor!$C$586:$C$665=_motor!$C$595))+1)/2)</f>
        <v/>
      </c>
      <c r="D15" s="7" t="str">
        <f>IF(_motor!$B$595=0,"",SUMPRODUCT(_motor!$B$586:$B$665*(_motor!$E$586:$E$665&gt;_motor!$E$595))+(SUMPRODUCT(_motor!$B$586:$B$665*(_motor!$E$586:$E$665=_motor!$E$595))+1)/2)</f>
        <v/>
      </c>
      <c r="E15" s="7" t="str">
        <f>IF(_motor!$B$595=0,"",SUMPRODUCT(_motor!$B$586:$B$665*(_motor!$G$586:$G$665&gt;_motor!$G$595))+(SUMPRODUCT(_motor!$B$586:$B$665*(_motor!$G$586:$G$665=_motor!$G$595))+1)/2)</f>
        <v/>
      </c>
      <c r="F15" s="7" t="str">
        <f>IF(_motor!$B$595=0,"",SUMPRODUCT(_motor!$B$586:$B$665*(_motor!$I$586:$I$665&gt;_motor!$I$595))+(SUMPRODUCT(_motor!$B$586:$B$665*(_motor!$I$586:$I$665=_motor!$I$595))+1)/2)</f>
        <v/>
      </c>
      <c r="G15" s="7" t="str">
        <f>IF(_motor!$B$595=0,"",C15-D15)</f>
        <v/>
      </c>
      <c r="H15" s="7" t="str">
        <f>IF(_motor!$B$595=0,"",C15-E15)</f>
        <v/>
      </c>
      <c r="I15" s="2" t="str">
        <f>IF(_motor!$B$595=0,"",IF(AND(ABS(_motor!$C$595-_motor!$B$668)&lt;=_motor!$B$676+0.000000001,ABS(_motor!$D$595-_motor!$B$668)&lt;=_motor!$B$676+0.000000001),"5 · Pelotón (no concluyente)",IF(AND(_motor!$C$595&gt;=_motor!$B$668,_motor!$D$595&lt;_motor!$B$668),"1 · Entrada / determinante",IF(AND(_motor!$C$595&gt;=_motor!$B$668,_motor!$D$595&gt;=_motor!$B$668),"2 · Intermedia / de enlace",IF(AND(_motor!$C$595&lt;_motor!$B$668,_motor!$D$595&gt;=_motor!$B$668),"3 · Resultado","4 · Excluida / autónoma")))))</f>
        <v/>
      </c>
      <c r="J15" s="2" t="str">
        <f>IF(_motor!$B$595=0,"",IF(AND(ABS(_motor!$I$595-_motor!$B$671)&lt;=_motor!$B$679+0.000000001,ABS(_motor!$J$595-_motor!$B$671)&lt;=_motor!$B$679+0.000000001),"5 · Pelotón (no concluyente)",IF(AND(_motor!$I$595&gt;=_motor!$B$671,_motor!$J$595&lt;_motor!$B$671),"1 · Entrada / determinante",IF(AND(_motor!$I$595&gt;=_motor!$B$671,_motor!$J$595&gt;=_motor!$B$671),"2 · Intermedia / de enlace",IF(AND(_motor!$I$595&lt;_motor!$B$671,_motor!$J$595&gt;=_motor!$B$671),"3 · Resultado","4 · Excluida / autónoma")))))</f>
        <v/>
      </c>
      <c r="K15" s="7" t="str">
        <f>IF(_motor!$B$595=0,"",IF(LEFT(I15,1)=LEFT(J15,1),"No","SÍ"))</f>
        <v/>
      </c>
      <c r="L15" s="2" t="str">
        <f>IF(_motor!$B$595=0,"",IF(AND(G15&gt;2,H15&gt;2),"Variable oculta y además latente: su peso real está muy infravalorado en la lectura directa. Prioridad máxima de seguimiento.",IF(G15&gt;2,"Variable oculta: gobierna el sistema a través de cadenas indirectas.",IF(H15&gt;2,"Variable latente: hoy es secundaria, pero ganará peso si las relaciones potenciales se materializan.",IF(AND(G15&lt;-2,H15&lt;-2),"Su importancia aparente en la lectura directa no se sostiene ni por vía indirecta ni potencial.","Comportamiento estable en las distintas clasificaciones.")))))</f>
        <v/>
      </c>
    </row>
    <row r="16" spans="1:12" x14ac:dyDescent="0.2">
      <c r="A16" s="6" t="str">
        <f>IF(_motor!$B$596=0,"",'02 · Variables'!$B$17)</f>
        <v/>
      </c>
      <c r="B16" s="2" t="str">
        <f>IF(_motor!$B$596=0,"",'02 · Variables'!$C$17)</f>
        <v/>
      </c>
      <c r="C16" s="7" t="str">
        <f>IF(_motor!$B$596=0,"",SUMPRODUCT(_motor!$B$586:$B$665*(_motor!$C$586:$C$665&gt;_motor!$C$596))+(SUMPRODUCT(_motor!$B$586:$B$665*(_motor!$C$586:$C$665=_motor!$C$596))+1)/2)</f>
        <v/>
      </c>
      <c r="D16" s="7" t="str">
        <f>IF(_motor!$B$596=0,"",SUMPRODUCT(_motor!$B$586:$B$665*(_motor!$E$586:$E$665&gt;_motor!$E$596))+(SUMPRODUCT(_motor!$B$586:$B$665*(_motor!$E$586:$E$665=_motor!$E$596))+1)/2)</f>
        <v/>
      </c>
      <c r="E16" s="7" t="str">
        <f>IF(_motor!$B$596=0,"",SUMPRODUCT(_motor!$B$586:$B$665*(_motor!$G$586:$G$665&gt;_motor!$G$596))+(SUMPRODUCT(_motor!$B$586:$B$665*(_motor!$G$586:$G$665=_motor!$G$596))+1)/2)</f>
        <v/>
      </c>
      <c r="F16" s="7" t="str">
        <f>IF(_motor!$B$596=0,"",SUMPRODUCT(_motor!$B$586:$B$665*(_motor!$I$586:$I$665&gt;_motor!$I$596))+(SUMPRODUCT(_motor!$B$586:$B$665*(_motor!$I$586:$I$665=_motor!$I$596))+1)/2)</f>
        <v/>
      </c>
      <c r="G16" s="7" t="str">
        <f>IF(_motor!$B$596=0,"",C16-D16)</f>
        <v/>
      </c>
      <c r="H16" s="7" t="str">
        <f>IF(_motor!$B$596=0,"",C16-E16)</f>
        <v/>
      </c>
      <c r="I16" s="2" t="str">
        <f>IF(_motor!$B$596=0,"",IF(AND(ABS(_motor!$C$596-_motor!$B$668)&lt;=_motor!$B$676+0.000000001,ABS(_motor!$D$596-_motor!$B$668)&lt;=_motor!$B$676+0.000000001),"5 · Pelotón (no concluyente)",IF(AND(_motor!$C$596&gt;=_motor!$B$668,_motor!$D$596&lt;_motor!$B$668),"1 · Entrada / determinante",IF(AND(_motor!$C$596&gt;=_motor!$B$668,_motor!$D$596&gt;=_motor!$B$668),"2 · Intermedia / de enlace",IF(AND(_motor!$C$596&lt;_motor!$B$668,_motor!$D$596&gt;=_motor!$B$668),"3 · Resultado","4 · Excluida / autónoma")))))</f>
        <v/>
      </c>
      <c r="J16" s="2" t="str">
        <f>IF(_motor!$B$596=0,"",IF(AND(ABS(_motor!$I$596-_motor!$B$671)&lt;=_motor!$B$679+0.000000001,ABS(_motor!$J$596-_motor!$B$671)&lt;=_motor!$B$679+0.000000001),"5 · Pelotón (no concluyente)",IF(AND(_motor!$I$596&gt;=_motor!$B$671,_motor!$J$596&lt;_motor!$B$671),"1 · Entrada / determinante",IF(AND(_motor!$I$596&gt;=_motor!$B$671,_motor!$J$596&gt;=_motor!$B$671),"2 · Intermedia / de enlace",IF(AND(_motor!$I$596&lt;_motor!$B$671,_motor!$J$596&gt;=_motor!$B$671),"3 · Resultado","4 · Excluida / autónoma")))))</f>
        <v/>
      </c>
      <c r="K16" s="7" t="str">
        <f>IF(_motor!$B$596=0,"",IF(LEFT(I16,1)=LEFT(J16,1),"No","SÍ"))</f>
        <v/>
      </c>
      <c r="L16" s="2" t="str">
        <f>IF(_motor!$B$596=0,"",IF(AND(G16&gt;2,H16&gt;2),"Variable oculta y además latente: su peso real está muy infravalorado en la lectura directa. Prioridad máxima de seguimiento.",IF(G16&gt;2,"Variable oculta: gobierna el sistema a través de cadenas indirectas.",IF(H16&gt;2,"Variable latente: hoy es secundaria, pero ganará peso si las relaciones potenciales se materializan.",IF(AND(G16&lt;-2,H16&lt;-2),"Su importancia aparente en la lectura directa no se sostiene ni por vía indirecta ni potencial.","Comportamiento estable en las distintas clasificaciones.")))))</f>
        <v/>
      </c>
    </row>
    <row r="17" spans="1:12" x14ac:dyDescent="0.2">
      <c r="A17" s="6" t="str">
        <f>IF(_motor!$B$597=0,"",'02 · Variables'!$B$18)</f>
        <v/>
      </c>
      <c r="B17" s="2" t="str">
        <f>IF(_motor!$B$597=0,"",'02 · Variables'!$C$18)</f>
        <v/>
      </c>
      <c r="C17" s="7" t="str">
        <f>IF(_motor!$B$597=0,"",SUMPRODUCT(_motor!$B$586:$B$665*(_motor!$C$586:$C$665&gt;_motor!$C$597))+(SUMPRODUCT(_motor!$B$586:$B$665*(_motor!$C$586:$C$665=_motor!$C$597))+1)/2)</f>
        <v/>
      </c>
      <c r="D17" s="7" t="str">
        <f>IF(_motor!$B$597=0,"",SUMPRODUCT(_motor!$B$586:$B$665*(_motor!$E$586:$E$665&gt;_motor!$E$597))+(SUMPRODUCT(_motor!$B$586:$B$665*(_motor!$E$586:$E$665=_motor!$E$597))+1)/2)</f>
        <v/>
      </c>
      <c r="E17" s="7" t="str">
        <f>IF(_motor!$B$597=0,"",SUMPRODUCT(_motor!$B$586:$B$665*(_motor!$G$586:$G$665&gt;_motor!$G$597))+(SUMPRODUCT(_motor!$B$586:$B$665*(_motor!$G$586:$G$665=_motor!$G$597))+1)/2)</f>
        <v/>
      </c>
      <c r="F17" s="7" t="str">
        <f>IF(_motor!$B$597=0,"",SUMPRODUCT(_motor!$B$586:$B$665*(_motor!$I$586:$I$665&gt;_motor!$I$597))+(SUMPRODUCT(_motor!$B$586:$B$665*(_motor!$I$586:$I$665=_motor!$I$597))+1)/2)</f>
        <v/>
      </c>
      <c r="G17" s="7" t="str">
        <f>IF(_motor!$B$597=0,"",C17-D17)</f>
        <v/>
      </c>
      <c r="H17" s="7" t="str">
        <f>IF(_motor!$B$597=0,"",C17-E17)</f>
        <v/>
      </c>
      <c r="I17" s="2" t="str">
        <f>IF(_motor!$B$597=0,"",IF(AND(ABS(_motor!$C$597-_motor!$B$668)&lt;=_motor!$B$676+0.000000001,ABS(_motor!$D$597-_motor!$B$668)&lt;=_motor!$B$676+0.000000001),"5 · Pelotón (no concluyente)",IF(AND(_motor!$C$597&gt;=_motor!$B$668,_motor!$D$597&lt;_motor!$B$668),"1 · Entrada / determinante",IF(AND(_motor!$C$597&gt;=_motor!$B$668,_motor!$D$597&gt;=_motor!$B$668),"2 · Intermedia / de enlace",IF(AND(_motor!$C$597&lt;_motor!$B$668,_motor!$D$597&gt;=_motor!$B$668),"3 · Resultado","4 · Excluida / autónoma")))))</f>
        <v/>
      </c>
      <c r="J17" s="2" t="str">
        <f>IF(_motor!$B$597=0,"",IF(AND(ABS(_motor!$I$597-_motor!$B$671)&lt;=_motor!$B$679+0.000000001,ABS(_motor!$J$597-_motor!$B$671)&lt;=_motor!$B$679+0.000000001),"5 · Pelotón (no concluyente)",IF(AND(_motor!$I$597&gt;=_motor!$B$671,_motor!$J$597&lt;_motor!$B$671),"1 · Entrada / determinante",IF(AND(_motor!$I$597&gt;=_motor!$B$671,_motor!$J$597&gt;=_motor!$B$671),"2 · Intermedia / de enlace",IF(AND(_motor!$I$597&lt;_motor!$B$671,_motor!$J$597&gt;=_motor!$B$671),"3 · Resultado","4 · Excluida / autónoma")))))</f>
        <v/>
      </c>
      <c r="K17" s="7" t="str">
        <f>IF(_motor!$B$597=0,"",IF(LEFT(I17,1)=LEFT(J17,1),"No","SÍ"))</f>
        <v/>
      </c>
      <c r="L17" s="2" t="str">
        <f>IF(_motor!$B$597=0,"",IF(AND(G17&gt;2,H17&gt;2),"Variable oculta y además latente: su peso real está muy infravalorado en la lectura directa. Prioridad máxima de seguimiento.",IF(G17&gt;2,"Variable oculta: gobierna el sistema a través de cadenas indirectas.",IF(H17&gt;2,"Variable latente: hoy es secundaria, pero ganará peso si las relaciones potenciales se materializan.",IF(AND(G17&lt;-2,H17&lt;-2),"Su importancia aparente en la lectura directa no se sostiene ni por vía indirecta ni potencial.","Comportamiento estable en las distintas clasificaciones.")))))</f>
        <v/>
      </c>
    </row>
    <row r="18" spans="1:12" x14ac:dyDescent="0.2">
      <c r="A18" s="6" t="str">
        <f>IF(_motor!$B$598=0,"",'02 · Variables'!$B$19)</f>
        <v/>
      </c>
      <c r="B18" s="2" t="str">
        <f>IF(_motor!$B$598=0,"",'02 · Variables'!$C$19)</f>
        <v/>
      </c>
      <c r="C18" s="7" t="str">
        <f>IF(_motor!$B$598=0,"",SUMPRODUCT(_motor!$B$586:$B$665*(_motor!$C$586:$C$665&gt;_motor!$C$598))+(SUMPRODUCT(_motor!$B$586:$B$665*(_motor!$C$586:$C$665=_motor!$C$598))+1)/2)</f>
        <v/>
      </c>
      <c r="D18" s="7" t="str">
        <f>IF(_motor!$B$598=0,"",SUMPRODUCT(_motor!$B$586:$B$665*(_motor!$E$586:$E$665&gt;_motor!$E$598))+(SUMPRODUCT(_motor!$B$586:$B$665*(_motor!$E$586:$E$665=_motor!$E$598))+1)/2)</f>
        <v/>
      </c>
      <c r="E18" s="7" t="str">
        <f>IF(_motor!$B$598=0,"",SUMPRODUCT(_motor!$B$586:$B$665*(_motor!$G$586:$G$665&gt;_motor!$G$598))+(SUMPRODUCT(_motor!$B$586:$B$665*(_motor!$G$586:$G$665=_motor!$G$598))+1)/2)</f>
        <v/>
      </c>
      <c r="F18" s="7" t="str">
        <f>IF(_motor!$B$598=0,"",SUMPRODUCT(_motor!$B$586:$B$665*(_motor!$I$586:$I$665&gt;_motor!$I$598))+(SUMPRODUCT(_motor!$B$586:$B$665*(_motor!$I$586:$I$665=_motor!$I$598))+1)/2)</f>
        <v/>
      </c>
      <c r="G18" s="7" t="str">
        <f>IF(_motor!$B$598=0,"",C18-D18)</f>
        <v/>
      </c>
      <c r="H18" s="7" t="str">
        <f>IF(_motor!$B$598=0,"",C18-E18)</f>
        <v/>
      </c>
      <c r="I18" s="2" t="str">
        <f>IF(_motor!$B$598=0,"",IF(AND(ABS(_motor!$C$598-_motor!$B$668)&lt;=_motor!$B$676+0.000000001,ABS(_motor!$D$598-_motor!$B$668)&lt;=_motor!$B$676+0.000000001),"5 · Pelotón (no concluyente)",IF(AND(_motor!$C$598&gt;=_motor!$B$668,_motor!$D$598&lt;_motor!$B$668),"1 · Entrada / determinante",IF(AND(_motor!$C$598&gt;=_motor!$B$668,_motor!$D$598&gt;=_motor!$B$668),"2 · Intermedia / de enlace",IF(AND(_motor!$C$598&lt;_motor!$B$668,_motor!$D$598&gt;=_motor!$B$668),"3 · Resultado","4 · Excluida / autónoma")))))</f>
        <v/>
      </c>
      <c r="J18" s="2" t="str">
        <f>IF(_motor!$B$598=0,"",IF(AND(ABS(_motor!$I$598-_motor!$B$671)&lt;=_motor!$B$679+0.000000001,ABS(_motor!$J$598-_motor!$B$671)&lt;=_motor!$B$679+0.000000001),"5 · Pelotón (no concluyente)",IF(AND(_motor!$I$598&gt;=_motor!$B$671,_motor!$J$598&lt;_motor!$B$671),"1 · Entrada / determinante",IF(AND(_motor!$I$598&gt;=_motor!$B$671,_motor!$J$598&gt;=_motor!$B$671),"2 · Intermedia / de enlace",IF(AND(_motor!$I$598&lt;_motor!$B$671,_motor!$J$598&gt;=_motor!$B$671),"3 · Resultado","4 · Excluida / autónoma")))))</f>
        <v/>
      </c>
      <c r="K18" s="7" t="str">
        <f>IF(_motor!$B$598=0,"",IF(LEFT(I18,1)=LEFT(J18,1),"No","SÍ"))</f>
        <v/>
      </c>
      <c r="L18" s="2" t="str">
        <f>IF(_motor!$B$598=0,"",IF(AND(G18&gt;2,H18&gt;2),"Variable oculta y además latente: su peso real está muy infravalorado en la lectura directa. Prioridad máxima de seguimiento.",IF(G18&gt;2,"Variable oculta: gobierna el sistema a través de cadenas indirectas.",IF(H18&gt;2,"Variable latente: hoy es secundaria, pero ganará peso si las relaciones potenciales se materializan.",IF(AND(G18&lt;-2,H18&lt;-2),"Su importancia aparente en la lectura directa no se sostiene ni por vía indirecta ni potencial.","Comportamiento estable en las distintas clasificaciones.")))))</f>
        <v/>
      </c>
    </row>
    <row r="19" spans="1:12" x14ac:dyDescent="0.2">
      <c r="A19" s="6" t="str">
        <f>IF(_motor!$B$599=0,"",'02 · Variables'!$B$20)</f>
        <v/>
      </c>
      <c r="B19" s="2" t="str">
        <f>IF(_motor!$B$599=0,"",'02 · Variables'!$C$20)</f>
        <v/>
      </c>
      <c r="C19" s="7" t="str">
        <f>IF(_motor!$B$599=0,"",SUMPRODUCT(_motor!$B$586:$B$665*(_motor!$C$586:$C$665&gt;_motor!$C$599))+(SUMPRODUCT(_motor!$B$586:$B$665*(_motor!$C$586:$C$665=_motor!$C$599))+1)/2)</f>
        <v/>
      </c>
      <c r="D19" s="7" t="str">
        <f>IF(_motor!$B$599=0,"",SUMPRODUCT(_motor!$B$586:$B$665*(_motor!$E$586:$E$665&gt;_motor!$E$599))+(SUMPRODUCT(_motor!$B$586:$B$665*(_motor!$E$586:$E$665=_motor!$E$599))+1)/2)</f>
        <v/>
      </c>
      <c r="E19" s="7" t="str">
        <f>IF(_motor!$B$599=0,"",SUMPRODUCT(_motor!$B$586:$B$665*(_motor!$G$586:$G$665&gt;_motor!$G$599))+(SUMPRODUCT(_motor!$B$586:$B$665*(_motor!$G$586:$G$665=_motor!$G$599))+1)/2)</f>
        <v/>
      </c>
      <c r="F19" s="7" t="str">
        <f>IF(_motor!$B$599=0,"",SUMPRODUCT(_motor!$B$586:$B$665*(_motor!$I$586:$I$665&gt;_motor!$I$599))+(SUMPRODUCT(_motor!$B$586:$B$665*(_motor!$I$586:$I$665=_motor!$I$599))+1)/2)</f>
        <v/>
      </c>
      <c r="G19" s="7" t="str">
        <f>IF(_motor!$B$599=0,"",C19-D19)</f>
        <v/>
      </c>
      <c r="H19" s="7" t="str">
        <f>IF(_motor!$B$599=0,"",C19-E19)</f>
        <v/>
      </c>
      <c r="I19" s="2" t="str">
        <f>IF(_motor!$B$599=0,"",IF(AND(ABS(_motor!$C$599-_motor!$B$668)&lt;=_motor!$B$676+0.000000001,ABS(_motor!$D$599-_motor!$B$668)&lt;=_motor!$B$676+0.000000001),"5 · Pelotón (no concluyente)",IF(AND(_motor!$C$599&gt;=_motor!$B$668,_motor!$D$599&lt;_motor!$B$668),"1 · Entrada / determinante",IF(AND(_motor!$C$599&gt;=_motor!$B$668,_motor!$D$599&gt;=_motor!$B$668),"2 · Intermedia / de enlace",IF(AND(_motor!$C$599&lt;_motor!$B$668,_motor!$D$599&gt;=_motor!$B$668),"3 · Resultado","4 · Excluida / autónoma")))))</f>
        <v/>
      </c>
      <c r="J19" s="2" t="str">
        <f>IF(_motor!$B$599=0,"",IF(AND(ABS(_motor!$I$599-_motor!$B$671)&lt;=_motor!$B$679+0.000000001,ABS(_motor!$J$599-_motor!$B$671)&lt;=_motor!$B$679+0.000000001),"5 · Pelotón (no concluyente)",IF(AND(_motor!$I$599&gt;=_motor!$B$671,_motor!$J$599&lt;_motor!$B$671),"1 · Entrada / determinante",IF(AND(_motor!$I$599&gt;=_motor!$B$671,_motor!$J$599&gt;=_motor!$B$671),"2 · Intermedia / de enlace",IF(AND(_motor!$I$599&lt;_motor!$B$671,_motor!$J$599&gt;=_motor!$B$671),"3 · Resultado","4 · Excluida / autónoma")))))</f>
        <v/>
      </c>
      <c r="K19" s="7" t="str">
        <f>IF(_motor!$B$599=0,"",IF(LEFT(I19,1)=LEFT(J19,1),"No","SÍ"))</f>
        <v/>
      </c>
      <c r="L19" s="2" t="str">
        <f>IF(_motor!$B$599=0,"",IF(AND(G19&gt;2,H19&gt;2),"Variable oculta y además latente: su peso real está muy infravalorado en la lectura directa. Prioridad máxima de seguimiento.",IF(G19&gt;2,"Variable oculta: gobierna el sistema a través de cadenas indirectas.",IF(H19&gt;2,"Variable latente: hoy es secundaria, pero ganará peso si las relaciones potenciales se materializan.",IF(AND(G19&lt;-2,H19&lt;-2),"Su importancia aparente en la lectura directa no se sostiene ni por vía indirecta ni potencial.","Comportamiento estable en las distintas clasificaciones.")))))</f>
        <v/>
      </c>
    </row>
    <row r="20" spans="1:12" x14ac:dyDescent="0.2">
      <c r="A20" s="6" t="str">
        <f>IF(_motor!$B$600=0,"",'02 · Variables'!$B$21)</f>
        <v/>
      </c>
      <c r="B20" s="2" t="str">
        <f>IF(_motor!$B$600=0,"",'02 · Variables'!$C$21)</f>
        <v/>
      </c>
      <c r="C20" s="7" t="str">
        <f>IF(_motor!$B$600=0,"",SUMPRODUCT(_motor!$B$586:$B$665*(_motor!$C$586:$C$665&gt;_motor!$C$600))+(SUMPRODUCT(_motor!$B$586:$B$665*(_motor!$C$586:$C$665=_motor!$C$600))+1)/2)</f>
        <v/>
      </c>
      <c r="D20" s="7" t="str">
        <f>IF(_motor!$B$600=0,"",SUMPRODUCT(_motor!$B$586:$B$665*(_motor!$E$586:$E$665&gt;_motor!$E$600))+(SUMPRODUCT(_motor!$B$586:$B$665*(_motor!$E$586:$E$665=_motor!$E$600))+1)/2)</f>
        <v/>
      </c>
      <c r="E20" s="7" t="str">
        <f>IF(_motor!$B$600=0,"",SUMPRODUCT(_motor!$B$586:$B$665*(_motor!$G$586:$G$665&gt;_motor!$G$600))+(SUMPRODUCT(_motor!$B$586:$B$665*(_motor!$G$586:$G$665=_motor!$G$600))+1)/2)</f>
        <v/>
      </c>
      <c r="F20" s="7" t="str">
        <f>IF(_motor!$B$600=0,"",SUMPRODUCT(_motor!$B$586:$B$665*(_motor!$I$586:$I$665&gt;_motor!$I$600))+(SUMPRODUCT(_motor!$B$586:$B$665*(_motor!$I$586:$I$665=_motor!$I$600))+1)/2)</f>
        <v/>
      </c>
      <c r="G20" s="7" t="str">
        <f>IF(_motor!$B$600=0,"",C20-D20)</f>
        <v/>
      </c>
      <c r="H20" s="7" t="str">
        <f>IF(_motor!$B$600=0,"",C20-E20)</f>
        <v/>
      </c>
      <c r="I20" s="2" t="str">
        <f>IF(_motor!$B$600=0,"",IF(AND(ABS(_motor!$C$600-_motor!$B$668)&lt;=_motor!$B$676+0.000000001,ABS(_motor!$D$600-_motor!$B$668)&lt;=_motor!$B$676+0.000000001),"5 · Pelotón (no concluyente)",IF(AND(_motor!$C$600&gt;=_motor!$B$668,_motor!$D$600&lt;_motor!$B$668),"1 · Entrada / determinante",IF(AND(_motor!$C$600&gt;=_motor!$B$668,_motor!$D$600&gt;=_motor!$B$668),"2 · Intermedia / de enlace",IF(AND(_motor!$C$600&lt;_motor!$B$668,_motor!$D$600&gt;=_motor!$B$668),"3 · Resultado","4 · Excluida / autónoma")))))</f>
        <v/>
      </c>
      <c r="J20" s="2" t="str">
        <f>IF(_motor!$B$600=0,"",IF(AND(ABS(_motor!$I$600-_motor!$B$671)&lt;=_motor!$B$679+0.000000001,ABS(_motor!$J$600-_motor!$B$671)&lt;=_motor!$B$679+0.000000001),"5 · Pelotón (no concluyente)",IF(AND(_motor!$I$600&gt;=_motor!$B$671,_motor!$J$600&lt;_motor!$B$671),"1 · Entrada / determinante",IF(AND(_motor!$I$600&gt;=_motor!$B$671,_motor!$J$600&gt;=_motor!$B$671),"2 · Intermedia / de enlace",IF(AND(_motor!$I$600&lt;_motor!$B$671,_motor!$J$600&gt;=_motor!$B$671),"3 · Resultado","4 · Excluida / autónoma")))))</f>
        <v/>
      </c>
      <c r="K20" s="7" t="str">
        <f>IF(_motor!$B$600=0,"",IF(LEFT(I20,1)=LEFT(J20,1),"No","SÍ"))</f>
        <v/>
      </c>
      <c r="L20" s="2" t="str">
        <f>IF(_motor!$B$600=0,"",IF(AND(G20&gt;2,H20&gt;2),"Variable oculta y además latente: su peso real está muy infravalorado en la lectura directa. Prioridad máxima de seguimiento.",IF(G20&gt;2,"Variable oculta: gobierna el sistema a través de cadenas indirectas.",IF(H20&gt;2,"Variable latente: hoy es secundaria, pero ganará peso si las relaciones potenciales se materializan.",IF(AND(G20&lt;-2,H20&lt;-2),"Su importancia aparente en la lectura directa no se sostiene ni por vía indirecta ni potencial.","Comportamiento estable en las distintas clasificaciones.")))))</f>
        <v/>
      </c>
    </row>
    <row r="21" spans="1:12" x14ac:dyDescent="0.2">
      <c r="A21" s="6" t="str">
        <f>IF(_motor!$B$601=0,"",'02 · Variables'!$B$22)</f>
        <v/>
      </c>
      <c r="B21" s="2" t="str">
        <f>IF(_motor!$B$601=0,"",'02 · Variables'!$C$22)</f>
        <v/>
      </c>
      <c r="C21" s="7" t="str">
        <f>IF(_motor!$B$601=0,"",SUMPRODUCT(_motor!$B$586:$B$665*(_motor!$C$586:$C$665&gt;_motor!$C$601))+(SUMPRODUCT(_motor!$B$586:$B$665*(_motor!$C$586:$C$665=_motor!$C$601))+1)/2)</f>
        <v/>
      </c>
      <c r="D21" s="7" t="str">
        <f>IF(_motor!$B$601=0,"",SUMPRODUCT(_motor!$B$586:$B$665*(_motor!$E$586:$E$665&gt;_motor!$E$601))+(SUMPRODUCT(_motor!$B$586:$B$665*(_motor!$E$586:$E$665=_motor!$E$601))+1)/2)</f>
        <v/>
      </c>
      <c r="E21" s="7" t="str">
        <f>IF(_motor!$B$601=0,"",SUMPRODUCT(_motor!$B$586:$B$665*(_motor!$G$586:$G$665&gt;_motor!$G$601))+(SUMPRODUCT(_motor!$B$586:$B$665*(_motor!$G$586:$G$665=_motor!$G$601))+1)/2)</f>
        <v/>
      </c>
      <c r="F21" s="7" t="str">
        <f>IF(_motor!$B$601=0,"",SUMPRODUCT(_motor!$B$586:$B$665*(_motor!$I$586:$I$665&gt;_motor!$I$601))+(SUMPRODUCT(_motor!$B$586:$B$665*(_motor!$I$586:$I$665=_motor!$I$601))+1)/2)</f>
        <v/>
      </c>
      <c r="G21" s="7" t="str">
        <f>IF(_motor!$B$601=0,"",C21-D21)</f>
        <v/>
      </c>
      <c r="H21" s="7" t="str">
        <f>IF(_motor!$B$601=0,"",C21-E21)</f>
        <v/>
      </c>
      <c r="I21" s="2" t="str">
        <f>IF(_motor!$B$601=0,"",IF(AND(ABS(_motor!$C$601-_motor!$B$668)&lt;=_motor!$B$676+0.000000001,ABS(_motor!$D$601-_motor!$B$668)&lt;=_motor!$B$676+0.000000001),"5 · Pelotón (no concluyente)",IF(AND(_motor!$C$601&gt;=_motor!$B$668,_motor!$D$601&lt;_motor!$B$668),"1 · Entrada / determinante",IF(AND(_motor!$C$601&gt;=_motor!$B$668,_motor!$D$601&gt;=_motor!$B$668),"2 · Intermedia / de enlace",IF(AND(_motor!$C$601&lt;_motor!$B$668,_motor!$D$601&gt;=_motor!$B$668),"3 · Resultado","4 · Excluida / autónoma")))))</f>
        <v/>
      </c>
      <c r="J21" s="2" t="str">
        <f>IF(_motor!$B$601=0,"",IF(AND(ABS(_motor!$I$601-_motor!$B$671)&lt;=_motor!$B$679+0.000000001,ABS(_motor!$J$601-_motor!$B$671)&lt;=_motor!$B$679+0.000000001),"5 · Pelotón (no concluyente)",IF(AND(_motor!$I$601&gt;=_motor!$B$671,_motor!$J$601&lt;_motor!$B$671),"1 · Entrada / determinante",IF(AND(_motor!$I$601&gt;=_motor!$B$671,_motor!$J$601&gt;=_motor!$B$671),"2 · Intermedia / de enlace",IF(AND(_motor!$I$601&lt;_motor!$B$671,_motor!$J$601&gt;=_motor!$B$671),"3 · Resultado","4 · Excluida / autónoma")))))</f>
        <v/>
      </c>
      <c r="K21" s="7" t="str">
        <f>IF(_motor!$B$601=0,"",IF(LEFT(I21,1)=LEFT(J21,1),"No","SÍ"))</f>
        <v/>
      </c>
      <c r="L21" s="2" t="str">
        <f>IF(_motor!$B$601=0,"",IF(AND(G21&gt;2,H21&gt;2),"Variable oculta y además latente: su peso real está muy infravalorado en la lectura directa. Prioridad máxima de seguimiento.",IF(G21&gt;2,"Variable oculta: gobierna el sistema a través de cadenas indirectas.",IF(H21&gt;2,"Variable latente: hoy es secundaria, pero ganará peso si las relaciones potenciales se materializan.",IF(AND(G21&lt;-2,H21&lt;-2),"Su importancia aparente en la lectura directa no se sostiene ni por vía indirecta ni potencial.","Comportamiento estable en las distintas clasificaciones.")))))</f>
        <v/>
      </c>
    </row>
    <row r="22" spans="1:12" x14ac:dyDescent="0.2">
      <c r="A22" s="6" t="str">
        <f>IF(_motor!$B$602=0,"",'02 · Variables'!$B$23)</f>
        <v/>
      </c>
      <c r="B22" s="2" t="str">
        <f>IF(_motor!$B$602=0,"",'02 · Variables'!$C$23)</f>
        <v/>
      </c>
      <c r="C22" s="7" t="str">
        <f>IF(_motor!$B$602=0,"",SUMPRODUCT(_motor!$B$586:$B$665*(_motor!$C$586:$C$665&gt;_motor!$C$602))+(SUMPRODUCT(_motor!$B$586:$B$665*(_motor!$C$586:$C$665=_motor!$C$602))+1)/2)</f>
        <v/>
      </c>
      <c r="D22" s="7" t="str">
        <f>IF(_motor!$B$602=0,"",SUMPRODUCT(_motor!$B$586:$B$665*(_motor!$E$586:$E$665&gt;_motor!$E$602))+(SUMPRODUCT(_motor!$B$586:$B$665*(_motor!$E$586:$E$665=_motor!$E$602))+1)/2)</f>
        <v/>
      </c>
      <c r="E22" s="7" t="str">
        <f>IF(_motor!$B$602=0,"",SUMPRODUCT(_motor!$B$586:$B$665*(_motor!$G$586:$G$665&gt;_motor!$G$602))+(SUMPRODUCT(_motor!$B$586:$B$665*(_motor!$G$586:$G$665=_motor!$G$602))+1)/2)</f>
        <v/>
      </c>
      <c r="F22" s="7" t="str">
        <f>IF(_motor!$B$602=0,"",SUMPRODUCT(_motor!$B$586:$B$665*(_motor!$I$586:$I$665&gt;_motor!$I$602))+(SUMPRODUCT(_motor!$B$586:$B$665*(_motor!$I$586:$I$665=_motor!$I$602))+1)/2)</f>
        <v/>
      </c>
      <c r="G22" s="7" t="str">
        <f>IF(_motor!$B$602=0,"",C22-D22)</f>
        <v/>
      </c>
      <c r="H22" s="7" t="str">
        <f>IF(_motor!$B$602=0,"",C22-E22)</f>
        <v/>
      </c>
      <c r="I22" s="2" t="str">
        <f>IF(_motor!$B$602=0,"",IF(AND(ABS(_motor!$C$602-_motor!$B$668)&lt;=_motor!$B$676+0.000000001,ABS(_motor!$D$602-_motor!$B$668)&lt;=_motor!$B$676+0.000000001),"5 · Pelotón (no concluyente)",IF(AND(_motor!$C$602&gt;=_motor!$B$668,_motor!$D$602&lt;_motor!$B$668),"1 · Entrada / determinante",IF(AND(_motor!$C$602&gt;=_motor!$B$668,_motor!$D$602&gt;=_motor!$B$668),"2 · Intermedia / de enlace",IF(AND(_motor!$C$602&lt;_motor!$B$668,_motor!$D$602&gt;=_motor!$B$668),"3 · Resultado","4 · Excluida / autónoma")))))</f>
        <v/>
      </c>
      <c r="J22" s="2" t="str">
        <f>IF(_motor!$B$602=0,"",IF(AND(ABS(_motor!$I$602-_motor!$B$671)&lt;=_motor!$B$679+0.000000001,ABS(_motor!$J$602-_motor!$B$671)&lt;=_motor!$B$679+0.000000001),"5 · Pelotón (no concluyente)",IF(AND(_motor!$I$602&gt;=_motor!$B$671,_motor!$J$602&lt;_motor!$B$671),"1 · Entrada / determinante",IF(AND(_motor!$I$602&gt;=_motor!$B$671,_motor!$J$602&gt;=_motor!$B$671),"2 · Intermedia / de enlace",IF(AND(_motor!$I$602&lt;_motor!$B$671,_motor!$J$602&gt;=_motor!$B$671),"3 · Resultado","4 · Excluida / autónoma")))))</f>
        <v/>
      </c>
      <c r="K22" s="7" t="str">
        <f>IF(_motor!$B$602=0,"",IF(LEFT(I22,1)=LEFT(J22,1),"No","SÍ"))</f>
        <v/>
      </c>
      <c r="L22" s="2" t="str">
        <f>IF(_motor!$B$602=0,"",IF(AND(G22&gt;2,H22&gt;2),"Variable oculta y además latente: su peso real está muy infravalorado en la lectura directa. Prioridad máxima de seguimiento.",IF(G22&gt;2,"Variable oculta: gobierna el sistema a través de cadenas indirectas.",IF(H22&gt;2,"Variable latente: hoy es secundaria, pero ganará peso si las relaciones potenciales se materializan.",IF(AND(G22&lt;-2,H22&lt;-2),"Su importancia aparente en la lectura directa no se sostiene ni por vía indirecta ni potencial.","Comportamiento estable en las distintas clasificaciones.")))))</f>
        <v/>
      </c>
    </row>
    <row r="23" spans="1:12" x14ac:dyDescent="0.2">
      <c r="A23" s="6" t="str">
        <f>IF(_motor!$B$603=0,"",'02 · Variables'!$B$24)</f>
        <v/>
      </c>
      <c r="B23" s="2" t="str">
        <f>IF(_motor!$B$603=0,"",'02 · Variables'!$C$24)</f>
        <v/>
      </c>
      <c r="C23" s="7" t="str">
        <f>IF(_motor!$B$603=0,"",SUMPRODUCT(_motor!$B$586:$B$665*(_motor!$C$586:$C$665&gt;_motor!$C$603))+(SUMPRODUCT(_motor!$B$586:$B$665*(_motor!$C$586:$C$665=_motor!$C$603))+1)/2)</f>
        <v/>
      </c>
      <c r="D23" s="7" t="str">
        <f>IF(_motor!$B$603=0,"",SUMPRODUCT(_motor!$B$586:$B$665*(_motor!$E$586:$E$665&gt;_motor!$E$603))+(SUMPRODUCT(_motor!$B$586:$B$665*(_motor!$E$586:$E$665=_motor!$E$603))+1)/2)</f>
        <v/>
      </c>
      <c r="E23" s="7" t="str">
        <f>IF(_motor!$B$603=0,"",SUMPRODUCT(_motor!$B$586:$B$665*(_motor!$G$586:$G$665&gt;_motor!$G$603))+(SUMPRODUCT(_motor!$B$586:$B$665*(_motor!$G$586:$G$665=_motor!$G$603))+1)/2)</f>
        <v/>
      </c>
      <c r="F23" s="7" t="str">
        <f>IF(_motor!$B$603=0,"",SUMPRODUCT(_motor!$B$586:$B$665*(_motor!$I$586:$I$665&gt;_motor!$I$603))+(SUMPRODUCT(_motor!$B$586:$B$665*(_motor!$I$586:$I$665=_motor!$I$603))+1)/2)</f>
        <v/>
      </c>
      <c r="G23" s="7" t="str">
        <f>IF(_motor!$B$603=0,"",C23-D23)</f>
        <v/>
      </c>
      <c r="H23" s="7" t="str">
        <f>IF(_motor!$B$603=0,"",C23-E23)</f>
        <v/>
      </c>
      <c r="I23" s="2" t="str">
        <f>IF(_motor!$B$603=0,"",IF(AND(ABS(_motor!$C$603-_motor!$B$668)&lt;=_motor!$B$676+0.000000001,ABS(_motor!$D$603-_motor!$B$668)&lt;=_motor!$B$676+0.000000001),"5 · Pelotón (no concluyente)",IF(AND(_motor!$C$603&gt;=_motor!$B$668,_motor!$D$603&lt;_motor!$B$668),"1 · Entrada / determinante",IF(AND(_motor!$C$603&gt;=_motor!$B$668,_motor!$D$603&gt;=_motor!$B$668),"2 · Intermedia / de enlace",IF(AND(_motor!$C$603&lt;_motor!$B$668,_motor!$D$603&gt;=_motor!$B$668),"3 · Resultado","4 · Excluida / autónoma")))))</f>
        <v/>
      </c>
      <c r="J23" s="2" t="str">
        <f>IF(_motor!$B$603=0,"",IF(AND(ABS(_motor!$I$603-_motor!$B$671)&lt;=_motor!$B$679+0.000000001,ABS(_motor!$J$603-_motor!$B$671)&lt;=_motor!$B$679+0.000000001),"5 · Pelotón (no concluyente)",IF(AND(_motor!$I$603&gt;=_motor!$B$671,_motor!$J$603&lt;_motor!$B$671),"1 · Entrada / determinante",IF(AND(_motor!$I$603&gt;=_motor!$B$671,_motor!$J$603&gt;=_motor!$B$671),"2 · Intermedia / de enlace",IF(AND(_motor!$I$603&lt;_motor!$B$671,_motor!$J$603&gt;=_motor!$B$671),"3 · Resultado","4 · Excluida / autónoma")))))</f>
        <v/>
      </c>
      <c r="K23" s="7" t="str">
        <f>IF(_motor!$B$603=0,"",IF(LEFT(I23,1)=LEFT(J23,1),"No","SÍ"))</f>
        <v/>
      </c>
      <c r="L23" s="2" t="str">
        <f>IF(_motor!$B$603=0,"",IF(AND(G23&gt;2,H23&gt;2),"Variable oculta y además latente: su peso real está muy infravalorado en la lectura directa. Prioridad máxima de seguimiento.",IF(G23&gt;2,"Variable oculta: gobierna el sistema a través de cadenas indirectas.",IF(H23&gt;2,"Variable latente: hoy es secundaria, pero ganará peso si las relaciones potenciales se materializan.",IF(AND(G23&lt;-2,H23&lt;-2),"Su importancia aparente en la lectura directa no se sostiene ni por vía indirecta ni potencial.","Comportamiento estable en las distintas clasificaciones.")))))</f>
        <v/>
      </c>
    </row>
    <row r="24" spans="1:12" x14ac:dyDescent="0.2">
      <c r="A24" s="6" t="str">
        <f>IF(_motor!$B$604=0,"",'02 · Variables'!$B$25)</f>
        <v/>
      </c>
      <c r="B24" s="2" t="str">
        <f>IF(_motor!$B$604=0,"",'02 · Variables'!$C$25)</f>
        <v/>
      </c>
      <c r="C24" s="7" t="str">
        <f>IF(_motor!$B$604=0,"",SUMPRODUCT(_motor!$B$586:$B$665*(_motor!$C$586:$C$665&gt;_motor!$C$604))+(SUMPRODUCT(_motor!$B$586:$B$665*(_motor!$C$586:$C$665=_motor!$C$604))+1)/2)</f>
        <v/>
      </c>
      <c r="D24" s="7" t="str">
        <f>IF(_motor!$B$604=0,"",SUMPRODUCT(_motor!$B$586:$B$665*(_motor!$E$586:$E$665&gt;_motor!$E$604))+(SUMPRODUCT(_motor!$B$586:$B$665*(_motor!$E$586:$E$665=_motor!$E$604))+1)/2)</f>
        <v/>
      </c>
      <c r="E24" s="7" t="str">
        <f>IF(_motor!$B$604=0,"",SUMPRODUCT(_motor!$B$586:$B$665*(_motor!$G$586:$G$665&gt;_motor!$G$604))+(SUMPRODUCT(_motor!$B$586:$B$665*(_motor!$G$586:$G$665=_motor!$G$604))+1)/2)</f>
        <v/>
      </c>
      <c r="F24" s="7" t="str">
        <f>IF(_motor!$B$604=0,"",SUMPRODUCT(_motor!$B$586:$B$665*(_motor!$I$586:$I$665&gt;_motor!$I$604))+(SUMPRODUCT(_motor!$B$586:$B$665*(_motor!$I$586:$I$665=_motor!$I$604))+1)/2)</f>
        <v/>
      </c>
      <c r="G24" s="7" t="str">
        <f>IF(_motor!$B$604=0,"",C24-D24)</f>
        <v/>
      </c>
      <c r="H24" s="7" t="str">
        <f>IF(_motor!$B$604=0,"",C24-E24)</f>
        <v/>
      </c>
      <c r="I24" s="2" t="str">
        <f>IF(_motor!$B$604=0,"",IF(AND(ABS(_motor!$C$604-_motor!$B$668)&lt;=_motor!$B$676+0.000000001,ABS(_motor!$D$604-_motor!$B$668)&lt;=_motor!$B$676+0.000000001),"5 · Pelotón (no concluyente)",IF(AND(_motor!$C$604&gt;=_motor!$B$668,_motor!$D$604&lt;_motor!$B$668),"1 · Entrada / determinante",IF(AND(_motor!$C$604&gt;=_motor!$B$668,_motor!$D$604&gt;=_motor!$B$668),"2 · Intermedia / de enlace",IF(AND(_motor!$C$604&lt;_motor!$B$668,_motor!$D$604&gt;=_motor!$B$668),"3 · Resultado","4 · Excluida / autónoma")))))</f>
        <v/>
      </c>
      <c r="J24" s="2" t="str">
        <f>IF(_motor!$B$604=0,"",IF(AND(ABS(_motor!$I$604-_motor!$B$671)&lt;=_motor!$B$679+0.000000001,ABS(_motor!$J$604-_motor!$B$671)&lt;=_motor!$B$679+0.000000001),"5 · Pelotón (no concluyente)",IF(AND(_motor!$I$604&gt;=_motor!$B$671,_motor!$J$604&lt;_motor!$B$671),"1 · Entrada / determinante",IF(AND(_motor!$I$604&gt;=_motor!$B$671,_motor!$J$604&gt;=_motor!$B$671),"2 · Intermedia / de enlace",IF(AND(_motor!$I$604&lt;_motor!$B$671,_motor!$J$604&gt;=_motor!$B$671),"3 · Resultado","4 · Excluida / autónoma")))))</f>
        <v/>
      </c>
      <c r="K24" s="7" t="str">
        <f>IF(_motor!$B$604=0,"",IF(LEFT(I24,1)=LEFT(J24,1),"No","SÍ"))</f>
        <v/>
      </c>
      <c r="L24" s="2" t="str">
        <f>IF(_motor!$B$604=0,"",IF(AND(G24&gt;2,H24&gt;2),"Variable oculta y además latente: su peso real está muy infravalorado en la lectura directa. Prioridad máxima de seguimiento.",IF(G24&gt;2,"Variable oculta: gobierna el sistema a través de cadenas indirectas.",IF(H24&gt;2,"Variable latente: hoy es secundaria, pero ganará peso si las relaciones potenciales se materializan.",IF(AND(G24&lt;-2,H24&lt;-2),"Su importancia aparente en la lectura directa no se sostiene ni por vía indirecta ni potencial.","Comportamiento estable en las distintas clasificaciones.")))))</f>
        <v/>
      </c>
    </row>
    <row r="25" spans="1:12" x14ac:dyDescent="0.2">
      <c r="A25" s="6" t="str">
        <f>IF(_motor!$B$605=0,"",'02 · Variables'!$B$26)</f>
        <v/>
      </c>
      <c r="B25" s="2" t="str">
        <f>IF(_motor!$B$605=0,"",'02 · Variables'!$C$26)</f>
        <v/>
      </c>
      <c r="C25" s="7" t="str">
        <f>IF(_motor!$B$605=0,"",SUMPRODUCT(_motor!$B$586:$B$665*(_motor!$C$586:$C$665&gt;_motor!$C$605))+(SUMPRODUCT(_motor!$B$586:$B$665*(_motor!$C$586:$C$665=_motor!$C$605))+1)/2)</f>
        <v/>
      </c>
      <c r="D25" s="7" t="str">
        <f>IF(_motor!$B$605=0,"",SUMPRODUCT(_motor!$B$586:$B$665*(_motor!$E$586:$E$665&gt;_motor!$E$605))+(SUMPRODUCT(_motor!$B$586:$B$665*(_motor!$E$586:$E$665=_motor!$E$605))+1)/2)</f>
        <v/>
      </c>
      <c r="E25" s="7" t="str">
        <f>IF(_motor!$B$605=0,"",SUMPRODUCT(_motor!$B$586:$B$665*(_motor!$G$586:$G$665&gt;_motor!$G$605))+(SUMPRODUCT(_motor!$B$586:$B$665*(_motor!$G$586:$G$665=_motor!$G$605))+1)/2)</f>
        <v/>
      </c>
      <c r="F25" s="7" t="str">
        <f>IF(_motor!$B$605=0,"",SUMPRODUCT(_motor!$B$586:$B$665*(_motor!$I$586:$I$665&gt;_motor!$I$605))+(SUMPRODUCT(_motor!$B$586:$B$665*(_motor!$I$586:$I$665=_motor!$I$605))+1)/2)</f>
        <v/>
      </c>
      <c r="G25" s="7" t="str">
        <f>IF(_motor!$B$605=0,"",C25-D25)</f>
        <v/>
      </c>
      <c r="H25" s="7" t="str">
        <f>IF(_motor!$B$605=0,"",C25-E25)</f>
        <v/>
      </c>
      <c r="I25" s="2" t="str">
        <f>IF(_motor!$B$605=0,"",IF(AND(ABS(_motor!$C$605-_motor!$B$668)&lt;=_motor!$B$676+0.000000001,ABS(_motor!$D$605-_motor!$B$668)&lt;=_motor!$B$676+0.000000001),"5 · Pelotón (no concluyente)",IF(AND(_motor!$C$605&gt;=_motor!$B$668,_motor!$D$605&lt;_motor!$B$668),"1 · Entrada / determinante",IF(AND(_motor!$C$605&gt;=_motor!$B$668,_motor!$D$605&gt;=_motor!$B$668),"2 · Intermedia / de enlace",IF(AND(_motor!$C$605&lt;_motor!$B$668,_motor!$D$605&gt;=_motor!$B$668),"3 · Resultado","4 · Excluida / autónoma")))))</f>
        <v/>
      </c>
      <c r="J25" s="2" t="str">
        <f>IF(_motor!$B$605=0,"",IF(AND(ABS(_motor!$I$605-_motor!$B$671)&lt;=_motor!$B$679+0.000000001,ABS(_motor!$J$605-_motor!$B$671)&lt;=_motor!$B$679+0.000000001),"5 · Pelotón (no concluyente)",IF(AND(_motor!$I$605&gt;=_motor!$B$671,_motor!$J$605&lt;_motor!$B$671),"1 · Entrada / determinante",IF(AND(_motor!$I$605&gt;=_motor!$B$671,_motor!$J$605&gt;=_motor!$B$671),"2 · Intermedia / de enlace",IF(AND(_motor!$I$605&lt;_motor!$B$671,_motor!$J$605&gt;=_motor!$B$671),"3 · Resultado","4 · Excluida / autónoma")))))</f>
        <v/>
      </c>
      <c r="K25" s="7" t="str">
        <f>IF(_motor!$B$605=0,"",IF(LEFT(I25,1)=LEFT(J25,1),"No","SÍ"))</f>
        <v/>
      </c>
      <c r="L25" s="2" t="str">
        <f>IF(_motor!$B$605=0,"",IF(AND(G25&gt;2,H25&gt;2),"Variable oculta y además latente: su peso real está muy infravalorado en la lectura directa. Prioridad máxima de seguimiento.",IF(G25&gt;2,"Variable oculta: gobierna el sistema a través de cadenas indirectas.",IF(H25&gt;2,"Variable latente: hoy es secundaria, pero ganará peso si las relaciones potenciales se materializan.",IF(AND(G25&lt;-2,H25&lt;-2),"Su importancia aparente en la lectura directa no se sostiene ni por vía indirecta ni potencial.","Comportamiento estable en las distintas clasificaciones.")))))</f>
        <v/>
      </c>
    </row>
    <row r="26" spans="1:12" x14ac:dyDescent="0.2">
      <c r="A26" s="6" t="str">
        <f>IF(_motor!$B$606=0,"",'02 · Variables'!$B$27)</f>
        <v/>
      </c>
      <c r="B26" s="2" t="str">
        <f>IF(_motor!$B$606=0,"",'02 · Variables'!$C$27)</f>
        <v/>
      </c>
      <c r="C26" s="7" t="str">
        <f>IF(_motor!$B$606=0,"",SUMPRODUCT(_motor!$B$586:$B$665*(_motor!$C$586:$C$665&gt;_motor!$C$606))+(SUMPRODUCT(_motor!$B$586:$B$665*(_motor!$C$586:$C$665=_motor!$C$606))+1)/2)</f>
        <v/>
      </c>
      <c r="D26" s="7" t="str">
        <f>IF(_motor!$B$606=0,"",SUMPRODUCT(_motor!$B$586:$B$665*(_motor!$E$586:$E$665&gt;_motor!$E$606))+(SUMPRODUCT(_motor!$B$586:$B$665*(_motor!$E$586:$E$665=_motor!$E$606))+1)/2)</f>
        <v/>
      </c>
      <c r="E26" s="7" t="str">
        <f>IF(_motor!$B$606=0,"",SUMPRODUCT(_motor!$B$586:$B$665*(_motor!$G$586:$G$665&gt;_motor!$G$606))+(SUMPRODUCT(_motor!$B$586:$B$665*(_motor!$G$586:$G$665=_motor!$G$606))+1)/2)</f>
        <v/>
      </c>
      <c r="F26" s="7" t="str">
        <f>IF(_motor!$B$606=0,"",SUMPRODUCT(_motor!$B$586:$B$665*(_motor!$I$586:$I$665&gt;_motor!$I$606))+(SUMPRODUCT(_motor!$B$586:$B$665*(_motor!$I$586:$I$665=_motor!$I$606))+1)/2)</f>
        <v/>
      </c>
      <c r="G26" s="7" t="str">
        <f>IF(_motor!$B$606=0,"",C26-D26)</f>
        <v/>
      </c>
      <c r="H26" s="7" t="str">
        <f>IF(_motor!$B$606=0,"",C26-E26)</f>
        <v/>
      </c>
      <c r="I26" s="2" t="str">
        <f>IF(_motor!$B$606=0,"",IF(AND(ABS(_motor!$C$606-_motor!$B$668)&lt;=_motor!$B$676+0.000000001,ABS(_motor!$D$606-_motor!$B$668)&lt;=_motor!$B$676+0.000000001),"5 · Pelotón (no concluyente)",IF(AND(_motor!$C$606&gt;=_motor!$B$668,_motor!$D$606&lt;_motor!$B$668),"1 · Entrada / determinante",IF(AND(_motor!$C$606&gt;=_motor!$B$668,_motor!$D$606&gt;=_motor!$B$668),"2 · Intermedia / de enlace",IF(AND(_motor!$C$606&lt;_motor!$B$668,_motor!$D$606&gt;=_motor!$B$668),"3 · Resultado","4 · Excluida / autónoma")))))</f>
        <v/>
      </c>
      <c r="J26" s="2" t="str">
        <f>IF(_motor!$B$606=0,"",IF(AND(ABS(_motor!$I$606-_motor!$B$671)&lt;=_motor!$B$679+0.000000001,ABS(_motor!$J$606-_motor!$B$671)&lt;=_motor!$B$679+0.000000001),"5 · Pelotón (no concluyente)",IF(AND(_motor!$I$606&gt;=_motor!$B$671,_motor!$J$606&lt;_motor!$B$671),"1 · Entrada / determinante",IF(AND(_motor!$I$606&gt;=_motor!$B$671,_motor!$J$606&gt;=_motor!$B$671),"2 · Intermedia / de enlace",IF(AND(_motor!$I$606&lt;_motor!$B$671,_motor!$J$606&gt;=_motor!$B$671),"3 · Resultado","4 · Excluida / autónoma")))))</f>
        <v/>
      </c>
      <c r="K26" s="7" t="str">
        <f>IF(_motor!$B$606=0,"",IF(LEFT(I26,1)=LEFT(J26,1),"No","SÍ"))</f>
        <v/>
      </c>
      <c r="L26" s="2" t="str">
        <f>IF(_motor!$B$606=0,"",IF(AND(G26&gt;2,H26&gt;2),"Variable oculta y además latente: su peso real está muy infravalorado en la lectura directa. Prioridad máxima de seguimiento.",IF(G26&gt;2,"Variable oculta: gobierna el sistema a través de cadenas indirectas.",IF(H26&gt;2,"Variable latente: hoy es secundaria, pero ganará peso si las relaciones potenciales se materializan.",IF(AND(G26&lt;-2,H26&lt;-2),"Su importancia aparente en la lectura directa no se sostiene ni por vía indirecta ni potencial.","Comportamiento estable en las distintas clasificaciones.")))))</f>
        <v/>
      </c>
    </row>
    <row r="27" spans="1:12" x14ac:dyDescent="0.2">
      <c r="A27" s="6" t="str">
        <f>IF(_motor!$B$607=0,"",'02 · Variables'!$B$28)</f>
        <v/>
      </c>
      <c r="B27" s="2" t="str">
        <f>IF(_motor!$B$607=0,"",'02 · Variables'!$C$28)</f>
        <v/>
      </c>
      <c r="C27" s="7" t="str">
        <f>IF(_motor!$B$607=0,"",SUMPRODUCT(_motor!$B$586:$B$665*(_motor!$C$586:$C$665&gt;_motor!$C$607))+(SUMPRODUCT(_motor!$B$586:$B$665*(_motor!$C$586:$C$665=_motor!$C$607))+1)/2)</f>
        <v/>
      </c>
      <c r="D27" s="7" t="str">
        <f>IF(_motor!$B$607=0,"",SUMPRODUCT(_motor!$B$586:$B$665*(_motor!$E$586:$E$665&gt;_motor!$E$607))+(SUMPRODUCT(_motor!$B$586:$B$665*(_motor!$E$586:$E$665=_motor!$E$607))+1)/2)</f>
        <v/>
      </c>
      <c r="E27" s="7" t="str">
        <f>IF(_motor!$B$607=0,"",SUMPRODUCT(_motor!$B$586:$B$665*(_motor!$G$586:$G$665&gt;_motor!$G$607))+(SUMPRODUCT(_motor!$B$586:$B$665*(_motor!$G$586:$G$665=_motor!$G$607))+1)/2)</f>
        <v/>
      </c>
      <c r="F27" s="7" t="str">
        <f>IF(_motor!$B$607=0,"",SUMPRODUCT(_motor!$B$586:$B$665*(_motor!$I$586:$I$665&gt;_motor!$I$607))+(SUMPRODUCT(_motor!$B$586:$B$665*(_motor!$I$586:$I$665=_motor!$I$607))+1)/2)</f>
        <v/>
      </c>
      <c r="G27" s="7" t="str">
        <f>IF(_motor!$B$607=0,"",C27-D27)</f>
        <v/>
      </c>
      <c r="H27" s="7" t="str">
        <f>IF(_motor!$B$607=0,"",C27-E27)</f>
        <v/>
      </c>
      <c r="I27" s="2" t="str">
        <f>IF(_motor!$B$607=0,"",IF(AND(ABS(_motor!$C$607-_motor!$B$668)&lt;=_motor!$B$676+0.000000001,ABS(_motor!$D$607-_motor!$B$668)&lt;=_motor!$B$676+0.000000001),"5 · Pelotón (no concluyente)",IF(AND(_motor!$C$607&gt;=_motor!$B$668,_motor!$D$607&lt;_motor!$B$668),"1 · Entrada / determinante",IF(AND(_motor!$C$607&gt;=_motor!$B$668,_motor!$D$607&gt;=_motor!$B$668),"2 · Intermedia / de enlace",IF(AND(_motor!$C$607&lt;_motor!$B$668,_motor!$D$607&gt;=_motor!$B$668),"3 · Resultado","4 · Excluida / autónoma")))))</f>
        <v/>
      </c>
      <c r="J27" s="2" t="str">
        <f>IF(_motor!$B$607=0,"",IF(AND(ABS(_motor!$I$607-_motor!$B$671)&lt;=_motor!$B$679+0.000000001,ABS(_motor!$J$607-_motor!$B$671)&lt;=_motor!$B$679+0.000000001),"5 · Pelotón (no concluyente)",IF(AND(_motor!$I$607&gt;=_motor!$B$671,_motor!$J$607&lt;_motor!$B$671),"1 · Entrada / determinante",IF(AND(_motor!$I$607&gt;=_motor!$B$671,_motor!$J$607&gt;=_motor!$B$671),"2 · Intermedia / de enlace",IF(AND(_motor!$I$607&lt;_motor!$B$671,_motor!$J$607&gt;=_motor!$B$671),"3 · Resultado","4 · Excluida / autónoma")))))</f>
        <v/>
      </c>
      <c r="K27" s="7" t="str">
        <f>IF(_motor!$B$607=0,"",IF(LEFT(I27,1)=LEFT(J27,1),"No","SÍ"))</f>
        <v/>
      </c>
      <c r="L27" s="2" t="str">
        <f>IF(_motor!$B$607=0,"",IF(AND(G27&gt;2,H27&gt;2),"Variable oculta y además latente: su peso real está muy infravalorado en la lectura directa. Prioridad máxima de seguimiento.",IF(G27&gt;2,"Variable oculta: gobierna el sistema a través de cadenas indirectas.",IF(H27&gt;2,"Variable latente: hoy es secundaria, pero ganará peso si las relaciones potenciales se materializan.",IF(AND(G27&lt;-2,H27&lt;-2),"Su importancia aparente en la lectura directa no se sostiene ni por vía indirecta ni potencial.","Comportamiento estable en las distintas clasificaciones.")))))</f>
        <v/>
      </c>
    </row>
    <row r="28" spans="1:12" x14ac:dyDescent="0.2">
      <c r="A28" s="6" t="str">
        <f>IF(_motor!$B$608=0,"",'02 · Variables'!$B$29)</f>
        <v/>
      </c>
      <c r="B28" s="2" t="str">
        <f>IF(_motor!$B$608=0,"",'02 · Variables'!$C$29)</f>
        <v/>
      </c>
      <c r="C28" s="7" t="str">
        <f>IF(_motor!$B$608=0,"",SUMPRODUCT(_motor!$B$586:$B$665*(_motor!$C$586:$C$665&gt;_motor!$C$608))+(SUMPRODUCT(_motor!$B$586:$B$665*(_motor!$C$586:$C$665=_motor!$C$608))+1)/2)</f>
        <v/>
      </c>
      <c r="D28" s="7" t="str">
        <f>IF(_motor!$B$608=0,"",SUMPRODUCT(_motor!$B$586:$B$665*(_motor!$E$586:$E$665&gt;_motor!$E$608))+(SUMPRODUCT(_motor!$B$586:$B$665*(_motor!$E$586:$E$665=_motor!$E$608))+1)/2)</f>
        <v/>
      </c>
      <c r="E28" s="7" t="str">
        <f>IF(_motor!$B$608=0,"",SUMPRODUCT(_motor!$B$586:$B$665*(_motor!$G$586:$G$665&gt;_motor!$G$608))+(SUMPRODUCT(_motor!$B$586:$B$665*(_motor!$G$586:$G$665=_motor!$G$608))+1)/2)</f>
        <v/>
      </c>
      <c r="F28" s="7" t="str">
        <f>IF(_motor!$B$608=0,"",SUMPRODUCT(_motor!$B$586:$B$665*(_motor!$I$586:$I$665&gt;_motor!$I$608))+(SUMPRODUCT(_motor!$B$586:$B$665*(_motor!$I$586:$I$665=_motor!$I$608))+1)/2)</f>
        <v/>
      </c>
      <c r="G28" s="7" t="str">
        <f>IF(_motor!$B$608=0,"",C28-D28)</f>
        <v/>
      </c>
      <c r="H28" s="7" t="str">
        <f>IF(_motor!$B$608=0,"",C28-E28)</f>
        <v/>
      </c>
      <c r="I28" s="2" t="str">
        <f>IF(_motor!$B$608=0,"",IF(AND(ABS(_motor!$C$608-_motor!$B$668)&lt;=_motor!$B$676+0.000000001,ABS(_motor!$D$608-_motor!$B$668)&lt;=_motor!$B$676+0.000000001),"5 · Pelotón (no concluyente)",IF(AND(_motor!$C$608&gt;=_motor!$B$668,_motor!$D$608&lt;_motor!$B$668),"1 · Entrada / determinante",IF(AND(_motor!$C$608&gt;=_motor!$B$668,_motor!$D$608&gt;=_motor!$B$668),"2 · Intermedia / de enlace",IF(AND(_motor!$C$608&lt;_motor!$B$668,_motor!$D$608&gt;=_motor!$B$668),"3 · Resultado","4 · Excluida / autónoma")))))</f>
        <v/>
      </c>
      <c r="J28" s="2" t="str">
        <f>IF(_motor!$B$608=0,"",IF(AND(ABS(_motor!$I$608-_motor!$B$671)&lt;=_motor!$B$679+0.000000001,ABS(_motor!$J$608-_motor!$B$671)&lt;=_motor!$B$679+0.000000001),"5 · Pelotón (no concluyente)",IF(AND(_motor!$I$608&gt;=_motor!$B$671,_motor!$J$608&lt;_motor!$B$671),"1 · Entrada / determinante",IF(AND(_motor!$I$608&gt;=_motor!$B$671,_motor!$J$608&gt;=_motor!$B$671),"2 · Intermedia / de enlace",IF(AND(_motor!$I$608&lt;_motor!$B$671,_motor!$J$608&gt;=_motor!$B$671),"3 · Resultado","4 · Excluida / autónoma")))))</f>
        <v/>
      </c>
      <c r="K28" s="7" t="str">
        <f>IF(_motor!$B$608=0,"",IF(LEFT(I28,1)=LEFT(J28,1),"No","SÍ"))</f>
        <v/>
      </c>
      <c r="L28" s="2" t="str">
        <f>IF(_motor!$B$608=0,"",IF(AND(G28&gt;2,H28&gt;2),"Variable oculta y además latente: su peso real está muy infravalorado en la lectura directa. Prioridad máxima de seguimiento.",IF(G28&gt;2,"Variable oculta: gobierna el sistema a través de cadenas indirectas.",IF(H28&gt;2,"Variable latente: hoy es secundaria, pero ganará peso si las relaciones potenciales se materializan.",IF(AND(G28&lt;-2,H28&lt;-2),"Su importancia aparente en la lectura directa no se sostiene ni por vía indirecta ni potencial.","Comportamiento estable en las distintas clasificaciones.")))))</f>
        <v/>
      </c>
    </row>
    <row r="29" spans="1:12" x14ac:dyDescent="0.2">
      <c r="A29" s="6" t="str">
        <f>IF(_motor!$B$609=0,"",'02 · Variables'!$B$30)</f>
        <v/>
      </c>
      <c r="B29" s="2" t="str">
        <f>IF(_motor!$B$609=0,"",'02 · Variables'!$C$30)</f>
        <v/>
      </c>
      <c r="C29" s="7" t="str">
        <f>IF(_motor!$B$609=0,"",SUMPRODUCT(_motor!$B$586:$B$665*(_motor!$C$586:$C$665&gt;_motor!$C$609))+(SUMPRODUCT(_motor!$B$586:$B$665*(_motor!$C$586:$C$665=_motor!$C$609))+1)/2)</f>
        <v/>
      </c>
      <c r="D29" s="7" t="str">
        <f>IF(_motor!$B$609=0,"",SUMPRODUCT(_motor!$B$586:$B$665*(_motor!$E$586:$E$665&gt;_motor!$E$609))+(SUMPRODUCT(_motor!$B$586:$B$665*(_motor!$E$586:$E$665=_motor!$E$609))+1)/2)</f>
        <v/>
      </c>
      <c r="E29" s="7" t="str">
        <f>IF(_motor!$B$609=0,"",SUMPRODUCT(_motor!$B$586:$B$665*(_motor!$G$586:$G$665&gt;_motor!$G$609))+(SUMPRODUCT(_motor!$B$586:$B$665*(_motor!$G$586:$G$665=_motor!$G$609))+1)/2)</f>
        <v/>
      </c>
      <c r="F29" s="7" t="str">
        <f>IF(_motor!$B$609=0,"",SUMPRODUCT(_motor!$B$586:$B$665*(_motor!$I$586:$I$665&gt;_motor!$I$609))+(SUMPRODUCT(_motor!$B$586:$B$665*(_motor!$I$586:$I$665=_motor!$I$609))+1)/2)</f>
        <v/>
      </c>
      <c r="G29" s="7" t="str">
        <f>IF(_motor!$B$609=0,"",C29-D29)</f>
        <v/>
      </c>
      <c r="H29" s="7" t="str">
        <f>IF(_motor!$B$609=0,"",C29-E29)</f>
        <v/>
      </c>
      <c r="I29" s="2" t="str">
        <f>IF(_motor!$B$609=0,"",IF(AND(ABS(_motor!$C$609-_motor!$B$668)&lt;=_motor!$B$676+0.000000001,ABS(_motor!$D$609-_motor!$B$668)&lt;=_motor!$B$676+0.000000001),"5 · Pelotón (no concluyente)",IF(AND(_motor!$C$609&gt;=_motor!$B$668,_motor!$D$609&lt;_motor!$B$668),"1 · Entrada / determinante",IF(AND(_motor!$C$609&gt;=_motor!$B$668,_motor!$D$609&gt;=_motor!$B$668),"2 · Intermedia / de enlace",IF(AND(_motor!$C$609&lt;_motor!$B$668,_motor!$D$609&gt;=_motor!$B$668),"3 · Resultado","4 · Excluida / autónoma")))))</f>
        <v/>
      </c>
      <c r="J29" s="2" t="str">
        <f>IF(_motor!$B$609=0,"",IF(AND(ABS(_motor!$I$609-_motor!$B$671)&lt;=_motor!$B$679+0.000000001,ABS(_motor!$J$609-_motor!$B$671)&lt;=_motor!$B$679+0.000000001),"5 · Pelotón (no concluyente)",IF(AND(_motor!$I$609&gt;=_motor!$B$671,_motor!$J$609&lt;_motor!$B$671),"1 · Entrada / determinante",IF(AND(_motor!$I$609&gt;=_motor!$B$671,_motor!$J$609&gt;=_motor!$B$671),"2 · Intermedia / de enlace",IF(AND(_motor!$I$609&lt;_motor!$B$671,_motor!$J$609&gt;=_motor!$B$671),"3 · Resultado","4 · Excluida / autónoma")))))</f>
        <v/>
      </c>
      <c r="K29" s="7" t="str">
        <f>IF(_motor!$B$609=0,"",IF(LEFT(I29,1)=LEFT(J29,1),"No","SÍ"))</f>
        <v/>
      </c>
      <c r="L29" s="2" t="str">
        <f>IF(_motor!$B$609=0,"",IF(AND(G29&gt;2,H29&gt;2),"Variable oculta y además latente: su peso real está muy infravalorado en la lectura directa. Prioridad máxima de seguimiento.",IF(G29&gt;2,"Variable oculta: gobierna el sistema a través de cadenas indirectas.",IF(H29&gt;2,"Variable latente: hoy es secundaria, pero ganará peso si las relaciones potenciales se materializan.",IF(AND(G29&lt;-2,H29&lt;-2),"Su importancia aparente en la lectura directa no se sostiene ni por vía indirecta ni potencial.","Comportamiento estable en las distintas clasificaciones.")))))</f>
        <v/>
      </c>
    </row>
    <row r="30" spans="1:12" x14ac:dyDescent="0.2">
      <c r="A30" s="6" t="str">
        <f>IF(_motor!$B$610=0,"",'02 · Variables'!$B$31)</f>
        <v/>
      </c>
      <c r="B30" s="2" t="str">
        <f>IF(_motor!$B$610=0,"",'02 · Variables'!$C$31)</f>
        <v/>
      </c>
      <c r="C30" s="7" t="str">
        <f>IF(_motor!$B$610=0,"",SUMPRODUCT(_motor!$B$586:$B$665*(_motor!$C$586:$C$665&gt;_motor!$C$610))+(SUMPRODUCT(_motor!$B$586:$B$665*(_motor!$C$586:$C$665=_motor!$C$610))+1)/2)</f>
        <v/>
      </c>
      <c r="D30" s="7" t="str">
        <f>IF(_motor!$B$610=0,"",SUMPRODUCT(_motor!$B$586:$B$665*(_motor!$E$586:$E$665&gt;_motor!$E$610))+(SUMPRODUCT(_motor!$B$586:$B$665*(_motor!$E$586:$E$665=_motor!$E$610))+1)/2)</f>
        <v/>
      </c>
      <c r="E30" s="7" t="str">
        <f>IF(_motor!$B$610=0,"",SUMPRODUCT(_motor!$B$586:$B$665*(_motor!$G$586:$G$665&gt;_motor!$G$610))+(SUMPRODUCT(_motor!$B$586:$B$665*(_motor!$G$586:$G$665=_motor!$G$610))+1)/2)</f>
        <v/>
      </c>
      <c r="F30" s="7" t="str">
        <f>IF(_motor!$B$610=0,"",SUMPRODUCT(_motor!$B$586:$B$665*(_motor!$I$586:$I$665&gt;_motor!$I$610))+(SUMPRODUCT(_motor!$B$586:$B$665*(_motor!$I$586:$I$665=_motor!$I$610))+1)/2)</f>
        <v/>
      </c>
      <c r="G30" s="7" t="str">
        <f>IF(_motor!$B$610=0,"",C30-D30)</f>
        <v/>
      </c>
      <c r="H30" s="7" t="str">
        <f>IF(_motor!$B$610=0,"",C30-E30)</f>
        <v/>
      </c>
      <c r="I30" s="2" t="str">
        <f>IF(_motor!$B$610=0,"",IF(AND(ABS(_motor!$C$610-_motor!$B$668)&lt;=_motor!$B$676+0.000000001,ABS(_motor!$D$610-_motor!$B$668)&lt;=_motor!$B$676+0.000000001),"5 · Pelotón (no concluyente)",IF(AND(_motor!$C$610&gt;=_motor!$B$668,_motor!$D$610&lt;_motor!$B$668),"1 · Entrada / determinante",IF(AND(_motor!$C$610&gt;=_motor!$B$668,_motor!$D$610&gt;=_motor!$B$668),"2 · Intermedia / de enlace",IF(AND(_motor!$C$610&lt;_motor!$B$668,_motor!$D$610&gt;=_motor!$B$668),"3 · Resultado","4 · Excluida / autónoma")))))</f>
        <v/>
      </c>
      <c r="J30" s="2" t="str">
        <f>IF(_motor!$B$610=0,"",IF(AND(ABS(_motor!$I$610-_motor!$B$671)&lt;=_motor!$B$679+0.000000001,ABS(_motor!$J$610-_motor!$B$671)&lt;=_motor!$B$679+0.000000001),"5 · Pelotón (no concluyente)",IF(AND(_motor!$I$610&gt;=_motor!$B$671,_motor!$J$610&lt;_motor!$B$671),"1 · Entrada / determinante",IF(AND(_motor!$I$610&gt;=_motor!$B$671,_motor!$J$610&gt;=_motor!$B$671),"2 · Intermedia / de enlace",IF(AND(_motor!$I$610&lt;_motor!$B$671,_motor!$J$610&gt;=_motor!$B$671),"3 · Resultado","4 · Excluida / autónoma")))))</f>
        <v/>
      </c>
      <c r="K30" s="7" t="str">
        <f>IF(_motor!$B$610=0,"",IF(LEFT(I30,1)=LEFT(J30,1),"No","SÍ"))</f>
        <v/>
      </c>
      <c r="L30" s="2" t="str">
        <f>IF(_motor!$B$610=0,"",IF(AND(G30&gt;2,H30&gt;2),"Variable oculta y además latente: su peso real está muy infravalorado en la lectura directa. Prioridad máxima de seguimiento.",IF(G30&gt;2,"Variable oculta: gobierna el sistema a través de cadenas indirectas.",IF(H30&gt;2,"Variable latente: hoy es secundaria, pero ganará peso si las relaciones potenciales se materializan.",IF(AND(G30&lt;-2,H30&lt;-2),"Su importancia aparente en la lectura directa no se sostiene ni por vía indirecta ni potencial.","Comportamiento estable en las distintas clasificaciones.")))))</f>
        <v/>
      </c>
    </row>
    <row r="31" spans="1:12" x14ac:dyDescent="0.2">
      <c r="A31" s="6" t="str">
        <f>IF(_motor!$B$611=0,"",'02 · Variables'!$B$32)</f>
        <v/>
      </c>
      <c r="B31" s="2" t="str">
        <f>IF(_motor!$B$611=0,"",'02 · Variables'!$C$32)</f>
        <v/>
      </c>
      <c r="C31" s="7" t="str">
        <f>IF(_motor!$B$611=0,"",SUMPRODUCT(_motor!$B$586:$B$665*(_motor!$C$586:$C$665&gt;_motor!$C$611))+(SUMPRODUCT(_motor!$B$586:$B$665*(_motor!$C$586:$C$665=_motor!$C$611))+1)/2)</f>
        <v/>
      </c>
      <c r="D31" s="7" t="str">
        <f>IF(_motor!$B$611=0,"",SUMPRODUCT(_motor!$B$586:$B$665*(_motor!$E$586:$E$665&gt;_motor!$E$611))+(SUMPRODUCT(_motor!$B$586:$B$665*(_motor!$E$586:$E$665=_motor!$E$611))+1)/2)</f>
        <v/>
      </c>
      <c r="E31" s="7" t="str">
        <f>IF(_motor!$B$611=0,"",SUMPRODUCT(_motor!$B$586:$B$665*(_motor!$G$586:$G$665&gt;_motor!$G$611))+(SUMPRODUCT(_motor!$B$586:$B$665*(_motor!$G$586:$G$665=_motor!$G$611))+1)/2)</f>
        <v/>
      </c>
      <c r="F31" s="7" t="str">
        <f>IF(_motor!$B$611=0,"",SUMPRODUCT(_motor!$B$586:$B$665*(_motor!$I$586:$I$665&gt;_motor!$I$611))+(SUMPRODUCT(_motor!$B$586:$B$665*(_motor!$I$586:$I$665=_motor!$I$611))+1)/2)</f>
        <v/>
      </c>
      <c r="G31" s="7" t="str">
        <f>IF(_motor!$B$611=0,"",C31-D31)</f>
        <v/>
      </c>
      <c r="H31" s="7" t="str">
        <f>IF(_motor!$B$611=0,"",C31-E31)</f>
        <v/>
      </c>
      <c r="I31" s="2" t="str">
        <f>IF(_motor!$B$611=0,"",IF(AND(ABS(_motor!$C$611-_motor!$B$668)&lt;=_motor!$B$676+0.000000001,ABS(_motor!$D$611-_motor!$B$668)&lt;=_motor!$B$676+0.000000001),"5 · Pelotón (no concluyente)",IF(AND(_motor!$C$611&gt;=_motor!$B$668,_motor!$D$611&lt;_motor!$B$668),"1 · Entrada / determinante",IF(AND(_motor!$C$611&gt;=_motor!$B$668,_motor!$D$611&gt;=_motor!$B$668),"2 · Intermedia / de enlace",IF(AND(_motor!$C$611&lt;_motor!$B$668,_motor!$D$611&gt;=_motor!$B$668),"3 · Resultado","4 · Excluida / autónoma")))))</f>
        <v/>
      </c>
      <c r="J31" s="2" t="str">
        <f>IF(_motor!$B$611=0,"",IF(AND(ABS(_motor!$I$611-_motor!$B$671)&lt;=_motor!$B$679+0.000000001,ABS(_motor!$J$611-_motor!$B$671)&lt;=_motor!$B$679+0.000000001),"5 · Pelotón (no concluyente)",IF(AND(_motor!$I$611&gt;=_motor!$B$671,_motor!$J$611&lt;_motor!$B$671),"1 · Entrada / determinante",IF(AND(_motor!$I$611&gt;=_motor!$B$671,_motor!$J$611&gt;=_motor!$B$671),"2 · Intermedia / de enlace",IF(AND(_motor!$I$611&lt;_motor!$B$671,_motor!$J$611&gt;=_motor!$B$671),"3 · Resultado","4 · Excluida / autónoma")))))</f>
        <v/>
      </c>
      <c r="K31" s="7" t="str">
        <f>IF(_motor!$B$611=0,"",IF(LEFT(I31,1)=LEFT(J31,1),"No","SÍ"))</f>
        <v/>
      </c>
      <c r="L31" s="2" t="str">
        <f>IF(_motor!$B$611=0,"",IF(AND(G31&gt;2,H31&gt;2),"Variable oculta y además latente: su peso real está muy infravalorado en la lectura directa. Prioridad máxima de seguimiento.",IF(G31&gt;2,"Variable oculta: gobierna el sistema a través de cadenas indirectas.",IF(H31&gt;2,"Variable latente: hoy es secundaria, pero ganará peso si las relaciones potenciales se materializan.",IF(AND(G31&lt;-2,H31&lt;-2),"Su importancia aparente en la lectura directa no se sostiene ni por vía indirecta ni potencial.","Comportamiento estable en las distintas clasificaciones.")))))</f>
        <v/>
      </c>
    </row>
    <row r="32" spans="1:12" x14ac:dyDescent="0.2">
      <c r="A32" s="6" t="str">
        <f>IF(_motor!$B$612=0,"",'02 · Variables'!$B$33)</f>
        <v/>
      </c>
      <c r="B32" s="2" t="str">
        <f>IF(_motor!$B$612=0,"",'02 · Variables'!$C$33)</f>
        <v/>
      </c>
      <c r="C32" s="7" t="str">
        <f>IF(_motor!$B$612=0,"",SUMPRODUCT(_motor!$B$586:$B$665*(_motor!$C$586:$C$665&gt;_motor!$C$612))+(SUMPRODUCT(_motor!$B$586:$B$665*(_motor!$C$586:$C$665=_motor!$C$612))+1)/2)</f>
        <v/>
      </c>
      <c r="D32" s="7" t="str">
        <f>IF(_motor!$B$612=0,"",SUMPRODUCT(_motor!$B$586:$B$665*(_motor!$E$586:$E$665&gt;_motor!$E$612))+(SUMPRODUCT(_motor!$B$586:$B$665*(_motor!$E$586:$E$665=_motor!$E$612))+1)/2)</f>
        <v/>
      </c>
      <c r="E32" s="7" t="str">
        <f>IF(_motor!$B$612=0,"",SUMPRODUCT(_motor!$B$586:$B$665*(_motor!$G$586:$G$665&gt;_motor!$G$612))+(SUMPRODUCT(_motor!$B$586:$B$665*(_motor!$G$586:$G$665=_motor!$G$612))+1)/2)</f>
        <v/>
      </c>
      <c r="F32" s="7" t="str">
        <f>IF(_motor!$B$612=0,"",SUMPRODUCT(_motor!$B$586:$B$665*(_motor!$I$586:$I$665&gt;_motor!$I$612))+(SUMPRODUCT(_motor!$B$586:$B$665*(_motor!$I$586:$I$665=_motor!$I$612))+1)/2)</f>
        <v/>
      </c>
      <c r="G32" s="7" t="str">
        <f>IF(_motor!$B$612=0,"",C32-D32)</f>
        <v/>
      </c>
      <c r="H32" s="7" t="str">
        <f>IF(_motor!$B$612=0,"",C32-E32)</f>
        <v/>
      </c>
      <c r="I32" s="2" t="str">
        <f>IF(_motor!$B$612=0,"",IF(AND(ABS(_motor!$C$612-_motor!$B$668)&lt;=_motor!$B$676+0.000000001,ABS(_motor!$D$612-_motor!$B$668)&lt;=_motor!$B$676+0.000000001),"5 · Pelotón (no concluyente)",IF(AND(_motor!$C$612&gt;=_motor!$B$668,_motor!$D$612&lt;_motor!$B$668),"1 · Entrada / determinante",IF(AND(_motor!$C$612&gt;=_motor!$B$668,_motor!$D$612&gt;=_motor!$B$668),"2 · Intermedia / de enlace",IF(AND(_motor!$C$612&lt;_motor!$B$668,_motor!$D$612&gt;=_motor!$B$668),"3 · Resultado","4 · Excluida / autónoma")))))</f>
        <v/>
      </c>
      <c r="J32" s="2" t="str">
        <f>IF(_motor!$B$612=0,"",IF(AND(ABS(_motor!$I$612-_motor!$B$671)&lt;=_motor!$B$679+0.000000001,ABS(_motor!$J$612-_motor!$B$671)&lt;=_motor!$B$679+0.000000001),"5 · Pelotón (no concluyente)",IF(AND(_motor!$I$612&gt;=_motor!$B$671,_motor!$J$612&lt;_motor!$B$671),"1 · Entrada / determinante",IF(AND(_motor!$I$612&gt;=_motor!$B$671,_motor!$J$612&gt;=_motor!$B$671),"2 · Intermedia / de enlace",IF(AND(_motor!$I$612&lt;_motor!$B$671,_motor!$J$612&gt;=_motor!$B$671),"3 · Resultado","4 · Excluida / autónoma")))))</f>
        <v/>
      </c>
      <c r="K32" s="7" t="str">
        <f>IF(_motor!$B$612=0,"",IF(LEFT(I32,1)=LEFT(J32,1),"No","SÍ"))</f>
        <v/>
      </c>
      <c r="L32" s="2" t="str">
        <f>IF(_motor!$B$612=0,"",IF(AND(G32&gt;2,H32&gt;2),"Variable oculta y además latente: su peso real está muy infravalorado en la lectura directa. Prioridad máxima de seguimiento.",IF(G32&gt;2,"Variable oculta: gobierna el sistema a través de cadenas indirectas.",IF(H32&gt;2,"Variable latente: hoy es secundaria, pero ganará peso si las relaciones potenciales se materializan.",IF(AND(G32&lt;-2,H32&lt;-2),"Su importancia aparente en la lectura directa no se sostiene ni por vía indirecta ni potencial.","Comportamiento estable en las distintas clasificaciones.")))))</f>
        <v/>
      </c>
    </row>
    <row r="33" spans="1:12" x14ac:dyDescent="0.2">
      <c r="A33" s="6" t="str">
        <f>IF(_motor!$B$613=0,"",'02 · Variables'!$B$34)</f>
        <v/>
      </c>
      <c r="B33" s="2" t="str">
        <f>IF(_motor!$B$613=0,"",'02 · Variables'!$C$34)</f>
        <v/>
      </c>
      <c r="C33" s="7" t="str">
        <f>IF(_motor!$B$613=0,"",SUMPRODUCT(_motor!$B$586:$B$665*(_motor!$C$586:$C$665&gt;_motor!$C$613))+(SUMPRODUCT(_motor!$B$586:$B$665*(_motor!$C$586:$C$665=_motor!$C$613))+1)/2)</f>
        <v/>
      </c>
      <c r="D33" s="7" t="str">
        <f>IF(_motor!$B$613=0,"",SUMPRODUCT(_motor!$B$586:$B$665*(_motor!$E$586:$E$665&gt;_motor!$E$613))+(SUMPRODUCT(_motor!$B$586:$B$665*(_motor!$E$586:$E$665=_motor!$E$613))+1)/2)</f>
        <v/>
      </c>
      <c r="E33" s="7" t="str">
        <f>IF(_motor!$B$613=0,"",SUMPRODUCT(_motor!$B$586:$B$665*(_motor!$G$586:$G$665&gt;_motor!$G$613))+(SUMPRODUCT(_motor!$B$586:$B$665*(_motor!$G$586:$G$665=_motor!$G$613))+1)/2)</f>
        <v/>
      </c>
      <c r="F33" s="7" t="str">
        <f>IF(_motor!$B$613=0,"",SUMPRODUCT(_motor!$B$586:$B$665*(_motor!$I$586:$I$665&gt;_motor!$I$613))+(SUMPRODUCT(_motor!$B$586:$B$665*(_motor!$I$586:$I$665=_motor!$I$613))+1)/2)</f>
        <v/>
      </c>
      <c r="G33" s="7" t="str">
        <f>IF(_motor!$B$613=0,"",C33-D33)</f>
        <v/>
      </c>
      <c r="H33" s="7" t="str">
        <f>IF(_motor!$B$613=0,"",C33-E33)</f>
        <v/>
      </c>
      <c r="I33" s="2" t="str">
        <f>IF(_motor!$B$613=0,"",IF(AND(ABS(_motor!$C$613-_motor!$B$668)&lt;=_motor!$B$676+0.000000001,ABS(_motor!$D$613-_motor!$B$668)&lt;=_motor!$B$676+0.000000001),"5 · Pelotón (no concluyente)",IF(AND(_motor!$C$613&gt;=_motor!$B$668,_motor!$D$613&lt;_motor!$B$668),"1 · Entrada / determinante",IF(AND(_motor!$C$613&gt;=_motor!$B$668,_motor!$D$613&gt;=_motor!$B$668),"2 · Intermedia / de enlace",IF(AND(_motor!$C$613&lt;_motor!$B$668,_motor!$D$613&gt;=_motor!$B$668),"3 · Resultado","4 · Excluida / autónoma")))))</f>
        <v/>
      </c>
      <c r="J33" s="2" t="str">
        <f>IF(_motor!$B$613=0,"",IF(AND(ABS(_motor!$I$613-_motor!$B$671)&lt;=_motor!$B$679+0.000000001,ABS(_motor!$J$613-_motor!$B$671)&lt;=_motor!$B$679+0.000000001),"5 · Pelotón (no concluyente)",IF(AND(_motor!$I$613&gt;=_motor!$B$671,_motor!$J$613&lt;_motor!$B$671),"1 · Entrada / determinante",IF(AND(_motor!$I$613&gt;=_motor!$B$671,_motor!$J$613&gt;=_motor!$B$671),"2 · Intermedia / de enlace",IF(AND(_motor!$I$613&lt;_motor!$B$671,_motor!$J$613&gt;=_motor!$B$671),"3 · Resultado","4 · Excluida / autónoma")))))</f>
        <v/>
      </c>
      <c r="K33" s="7" t="str">
        <f>IF(_motor!$B$613=0,"",IF(LEFT(I33,1)=LEFT(J33,1),"No","SÍ"))</f>
        <v/>
      </c>
      <c r="L33" s="2" t="str">
        <f>IF(_motor!$B$613=0,"",IF(AND(G33&gt;2,H33&gt;2),"Variable oculta y además latente: su peso real está muy infravalorado en la lectura directa. Prioridad máxima de seguimiento.",IF(G33&gt;2,"Variable oculta: gobierna el sistema a través de cadenas indirectas.",IF(H33&gt;2,"Variable latente: hoy es secundaria, pero ganará peso si las relaciones potenciales se materializan.",IF(AND(G33&lt;-2,H33&lt;-2),"Su importancia aparente en la lectura directa no se sostiene ni por vía indirecta ni potencial.","Comportamiento estable en las distintas clasificaciones.")))))</f>
        <v/>
      </c>
    </row>
    <row r="34" spans="1:12" x14ac:dyDescent="0.2">
      <c r="A34" s="6" t="str">
        <f>IF(_motor!$B$614=0,"",'02 · Variables'!$B$35)</f>
        <v/>
      </c>
      <c r="B34" s="2" t="str">
        <f>IF(_motor!$B$614=0,"",'02 · Variables'!$C$35)</f>
        <v/>
      </c>
      <c r="C34" s="7" t="str">
        <f>IF(_motor!$B$614=0,"",SUMPRODUCT(_motor!$B$586:$B$665*(_motor!$C$586:$C$665&gt;_motor!$C$614))+(SUMPRODUCT(_motor!$B$586:$B$665*(_motor!$C$586:$C$665=_motor!$C$614))+1)/2)</f>
        <v/>
      </c>
      <c r="D34" s="7" t="str">
        <f>IF(_motor!$B$614=0,"",SUMPRODUCT(_motor!$B$586:$B$665*(_motor!$E$586:$E$665&gt;_motor!$E$614))+(SUMPRODUCT(_motor!$B$586:$B$665*(_motor!$E$586:$E$665=_motor!$E$614))+1)/2)</f>
        <v/>
      </c>
      <c r="E34" s="7" t="str">
        <f>IF(_motor!$B$614=0,"",SUMPRODUCT(_motor!$B$586:$B$665*(_motor!$G$586:$G$665&gt;_motor!$G$614))+(SUMPRODUCT(_motor!$B$586:$B$665*(_motor!$G$586:$G$665=_motor!$G$614))+1)/2)</f>
        <v/>
      </c>
      <c r="F34" s="7" t="str">
        <f>IF(_motor!$B$614=0,"",SUMPRODUCT(_motor!$B$586:$B$665*(_motor!$I$586:$I$665&gt;_motor!$I$614))+(SUMPRODUCT(_motor!$B$586:$B$665*(_motor!$I$586:$I$665=_motor!$I$614))+1)/2)</f>
        <v/>
      </c>
      <c r="G34" s="7" t="str">
        <f>IF(_motor!$B$614=0,"",C34-D34)</f>
        <v/>
      </c>
      <c r="H34" s="7" t="str">
        <f>IF(_motor!$B$614=0,"",C34-E34)</f>
        <v/>
      </c>
      <c r="I34" s="2" t="str">
        <f>IF(_motor!$B$614=0,"",IF(AND(ABS(_motor!$C$614-_motor!$B$668)&lt;=_motor!$B$676+0.000000001,ABS(_motor!$D$614-_motor!$B$668)&lt;=_motor!$B$676+0.000000001),"5 · Pelotón (no concluyente)",IF(AND(_motor!$C$614&gt;=_motor!$B$668,_motor!$D$614&lt;_motor!$B$668),"1 · Entrada / determinante",IF(AND(_motor!$C$614&gt;=_motor!$B$668,_motor!$D$614&gt;=_motor!$B$668),"2 · Intermedia / de enlace",IF(AND(_motor!$C$614&lt;_motor!$B$668,_motor!$D$614&gt;=_motor!$B$668),"3 · Resultado","4 · Excluida / autónoma")))))</f>
        <v/>
      </c>
      <c r="J34" s="2" t="str">
        <f>IF(_motor!$B$614=0,"",IF(AND(ABS(_motor!$I$614-_motor!$B$671)&lt;=_motor!$B$679+0.000000001,ABS(_motor!$J$614-_motor!$B$671)&lt;=_motor!$B$679+0.000000001),"5 · Pelotón (no concluyente)",IF(AND(_motor!$I$614&gt;=_motor!$B$671,_motor!$J$614&lt;_motor!$B$671),"1 · Entrada / determinante",IF(AND(_motor!$I$614&gt;=_motor!$B$671,_motor!$J$614&gt;=_motor!$B$671),"2 · Intermedia / de enlace",IF(AND(_motor!$I$614&lt;_motor!$B$671,_motor!$J$614&gt;=_motor!$B$671),"3 · Resultado","4 · Excluida / autónoma")))))</f>
        <v/>
      </c>
      <c r="K34" s="7" t="str">
        <f>IF(_motor!$B$614=0,"",IF(LEFT(I34,1)=LEFT(J34,1),"No","SÍ"))</f>
        <v/>
      </c>
      <c r="L34" s="2" t="str">
        <f>IF(_motor!$B$614=0,"",IF(AND(G34&gt;2,H34&gt;2),"Variable oculta y además latente: su peso real está muy infravalorado en la lectura directa. Prioridad máxima de seguimiento.",IF(G34&gt;2,"Variable oculta: gobierna el sistema a través de cadenas indirectas.",IF(H34&gt;2,"Variable latente: hoy es secundaria, pero ganará peso si las relaciones potenciales se materializan.",IF(AND(G34&lt;-2,H34&lt;-2),"Su importancia aparente en la lectura directa no se sostiene ni por vía indirecta ni potencial.","Comportamiento estable en las distintas clasificaciones.")))))</f>
        <v/>
      </c>
    </row>
    <row r="35" spans="1:12" x14ac:dyDescent="0.2">
      <c r="A35" s="6" t="str">
        <f>IF(_motor!$B$615=0,"",'02 · Variables'!$B$36)</f>
        <v/>
      </c>
      <c r="B35" s="2" t="str">
        <f>IF(_motor!$B$615=0,"",'02 · Variables'!$C$36)</f>
        <v/>
      </c>
      <c r="C35" s="7" t="str">
        <f>IF(_motor!$B$615=0,"",SUMPRODUCT(_motor!$B$586:$B$665*(_motor!$C$586:$C$665&gt;_motor!$C$615))+(SUMPRODUCT(_motor!$B$586:$B$665*(_motor!$C$586:$C$665=_motor!$C$615))+1)/2)</f>
        <v/>
      </c>
      <c r="D35" s="7" t="str">
        <f>IF(_motor!$B$615=0,"",SUMPRODUCT(_motor!$B$586:$B$665*(_motor!$E$586:$E$665&gt;_motor!$E$615))+(SUMPRODUCT(_motor!$B$586:$B$665*(_motor!$E$586:$E$665=_motor!$E$615))+1)/2)</f>
        <v/>
      </c>
      <c r="E35" s="7" t="str">
        <f>IF(_motor!$B$615=0,"",SUMPRODUCT(_motor!$B$586:$B$665*(_motor!$G$586:$G$665&gt;_motor!$G$615))+(SUMPRODUCT(_motor!$B$586:$B$665*(_motor!$G$586:$G$665=_motor!$G$615))+1)/2)</f>
        <v/>
      </c>
      <c r="F35" s="7" t="str">
        <f>IF(_motor!$B$615=0,"",SUMPRODUCT(_motor!$B$586:$B$665*(_motor!$I$586:$I$665&gt;_motor!$I$615))+(SUMPRODUCT(_motor!$B$586:$B$665*(_motor!$I$586:$I$665=_motor!$I$615))+1)/2)</f>
        <v/>
      </c>
      <c r="G35" s="7" t="str">
        <f>IF(_motor!$B$615=0,"",C35-D35)</f>
        <v/>
      </c>
      <c r="H35" s="7" t="str">
        <f>IF(_motor!$B$615=0,"",C35-E35)</f>
        <v/>
      </c>
      <c r="I35" s="2" t="str">
        <f>IF(_motor!$B$615=0,"",IF(AND(ABS(_motor!$C$615-_motor!$B$668)&lt;=_motor!$B$676+0.000000001,ABS(_motor!$D$615-_motor!$B$668)&lt;=_motor!$B$676+0.000000001),"5 · Pelotón (no concluyente)",IF(AND(_motor!$C$615&gt;=_motor!$B$668,_motor!$D$615&lt;_motor!$B$668),"1 · Entrada / determinante",IF(AND(_motor!$C$615&gt;=_motor!$B$668,_motor!$D$615&gt;=_motor!$B$668),"2 · Intermedia / de enlace",IF(AND(_motor!$C$615&lt;_motor!$B$668,_motor!$D$615&gt;=_motor!$B$668),"3 · Resultado","4 · Excluida / autónoma")))))</f>
        <v/>
      </c>
      <c r="J35" s="2" t="str">
        <f>IF(_motor!$B$615=0,"",IF(AND(ABS(_motor!$I$615-_motor!$B$671)&lt;=_motor!$B$679+0.000000001,ABS(_motor!$J$615-_motor!$B$671)&lt;=_motor!$B$679+0.000000001),"5 · Pelotón (no concluyente)",IF(AND(_motor!$I$615&gt;=_motor!$B$671,_motor!$J$615&lt;_motor!$B$671),"1 · Entrada / determinante",IF(AND(_motor!$I$615&gt;=_motor!$B$671,_motor!$J$615&gt;=_motor!$B$671),"2 · Intermedia / de enlace",IF(AND(_motor!$I$615&lt;_motor!$B$671,_motor!$J$615&gt;=_motor!$B$671),"3 · Resultado","4 · Excluida / autónoma")))))</f>
        <v/>
      </c>
      <c r="K35" s="7" t="str">
        <f>IF(_motor!$B$615=0,"",IF(LEFT(I35,1)=LEFT(J35,1),"No","SÍ"))</f>
        <v/>
      </c>
      <c r="L35" s="2" t="str">
        <f>IF(_motor!$B$615=0,"",IF(AND(G35&gt;2,H35&gt;2),"Variable oculta y además latente: su peso real está muy infravalorado en la lectura directa. Prioridad máxima de seguimiento.",IF(G35&gt;2,"Variable oculta: gobierna el sistema a través de cadenas indirectas.",IF(H35&gt;2,"Variable latente: hoy es secundaria, pero ganará peso si las relaciones potenciales se materializan.",IF(AND(G35&lt;-2,H35&lt;-2),"Su importancia aparente en la lectura directa no se sostiene ni por vía indirecta ni potencial.","Comportamiento estable en las distintas clasificaciones.")))))</f>
        <v/>
      </c>
    </row>
    <row r="36" spans="1:12" x14ac:dyDescent="0.2">
      <c r="A36" s="6" t="str">
        <f>IF(_motor!$B$616=0,"",'02 · Variables'!$B$37)</f>
        <v/>
      </c>
      <c r="B36" s="2" t="str">
        <f>IF(_motor!$B$616=0,"",'02 · Variables'!$C$37)</f>
        <v/>
      </c>
      <c r="C36" s="7" t="str">
        <f>IF(_motor!$B$616=0,"",SUMPRODUCT(_motor!$B$586:$B$665*(_motor!$C$586:$C$665&gt;_motor!$C$616))+(SUMPRODUCT(_motor!$B$586:$B$665*(_motor!$C$586:$C$665=_motor!$C$616))+1)/2)</f>
        <v/>
      </c>
      <c r="D36" s="7" t="str">
        <f>IF(_motor!$B$616=0,"",SUMPRODUCT(_motor!$B$586:$B$665*(_motor!$E$586:$E$665&gt;_motor!$E$616))+(SUMPRODUCT(_motor!$B$586:$B$665*(_motor!$E$586:$E$665=_motor!$E$616))+1)/2)</f>
        <v/>
      </c>
      <c r="E36" s="7" t="str">
        <f>IF(_motor!$B$616=0,"",SUMPRODUCT(_motor!$B$586:$B$665*(_motor!$G$586:$G$665&gt;_motor!$G$616))+(SUMPRODUCT(_motor!$B$586:$B$665*(_motor!$G$586:$G$665=_motor!$G$616))+1)/2)</f>
        <v/>
      </c>
      <c r="F36" s="7" t="str">
        <f>IF(_motor!$B$616=0,"",SUMPRODUCT(_motor!$B$586:$B$665*(_motor!$I$586:$I$665&gt;_motor!$I$616))+(SUMPRODUCT(_motor!$B$586:$B$665*(_motor!$I$586:$I$665=_motor!$I$616))+1)/2)</f>
        <v/>
      </c>
      <c r="G36" s="7" t="str">
        <f>IF(_motor!$B$616=0,"",C36-D36)</f>
        <v/>
      </c>
      <c r="H36" s="7" t="str">
        <f>IF(_motor!$B$616=0,"",C36-E36)</f>
        <v/>
      </c>
      <c r="I36" s="2" t="str">
        <f>IF(_motor!$B$616=0,"",IF(AND(ABS(_motor!$C$616-_motor!$B$668)&lt;=_motor!$B$676+0.000000001,ABS(_motor!$D$616-_motor!$B$668)&lt;=_motor!$B$676+0.000000001),"5 · Pelotón (no concluyente)",IF(AND(_motor!$C$616&gt;=_motor!$B$668,_motor!$D$616&lt;_motor!$B$668),"1 · Entrada / determinante",IF(AND(_motor!$C$616&gt;=_motor!$B$668,_motor!$D$616&gt;=_motor!$B$668),"2 · Intermedia / de enlace",IF(AND(_motor!$C$616&lt;_motor!$B$668,_motor!$D$616&gt;=_motor!$B$668),"3 · Resultado","4 · Excluida / autónoma")))))</f>
        <v/>
      </c>
      <c r="J36" s="2" t="str">
        <f>IF(_motor!$B$616=0,"",IF(AND(ABS(_motor!$I$616-_motor!$B$671)&lt;=_motor!$B$679+0.000000001,ABS(_motor!$J$616-_motor!$B$671)&lt;=_motor!$B$679+0.000000001),"5 · Pelotón (no concluyente)",IF(AND(_motor!$I$616&gt;=_motor!$B$671,_motor!$J$616&lt;_motor!$B$671),"1 · Entrada / determinante",IF(AND(_motor!$I$616&gt;=_motor!$B$671,_motor!$J$616&gt;=_motor!$B$671),"2 · Intermedia / de enlace",IF(AND(_motor!$I$616&lt;_motor!$B$671,_motor!$J$616&gt;=_motor!$B$671),"3 · Resultado","4 · Excluida / autónoma")))))</f>
        <v/>
      </c>
      <c r="K36" s="7" t="str">
        <f>IF(_motor!$B$616=0,"",IF(LEFT(I36,1)=LEFT(J36,1),"No","SÍ"))</f>
        <v/>
      </c>
      <c r="L36" s="2" t="str">
        <f>IF(_motor!$B$616=0,"",IF(AND(G36&gt;2,H36&gt;2),"Variable oculta y además latente: su peso real está muy infravalorado en la lectura directa. Prioridad máxima de seguimiento.",IF(G36&gt;2,"Variable oculta: gobierna el sistema a través de cadenas indirectas.",IF(H36&gt;2,"Variable latente: hoy es secundaria, pero ganará peso si las relaciones potenciales se materializan.",IF(AND(G36&lt;-2,H36&lt;-2),"Su importancia aparente en la lectura directa no se sostiene ni por vía indirecta ni potencial.","Comportamiento estable en las distintas clasificaciones.")))))</f>
        <v/>
      </c>
    </row>
    <row r="37" spans="1:12" x14ac:dyDescent="0.2">
      <c r="A37" s="6" t="str">
        <f>IF(_motor!$B$617=0,"",'02 · Variables'!$B$38)</f>
        <v/>
      </c>
      <c r="B37" s="2" t="str">
        <f>IF(_motor!$B$617=0,"",'02 · Variables'!$C$38)</f>
        <v/>
      </c>
      <c r="C37" s="7" t="str">
        <f>IF(_motor!$B$617=0,"",SUMPRODUCT(_motor!$B$586:$B$665*(_motor!$C$586:$C$665&gt;_motor!$C$617))+(SUMPRODUCT(_motor!$B$586:$B$665*(_motor!$C$586:$C$665=_motor!$C$617))+1)/2)</f>
        <v/>
      </c>
      <c r="D37" s="7" t="str">
        <f>IF(_motor!$B$617=0,"",SUMPRODUCT(_motor!$B$586:$B$665*(_motor!$E$586:$E$665&gt;_motor!$E$617))+(SUMPRODUCT(_motor!$B$586:$B$665*(_motor!$E$586:$E$665=_motor!$E$617))+1)/2)</f>
        <v/>
      </c>
      <c r="E37" s="7" t="str">
        <f>IF(_motor!$B$617=0,"",SUMPRODUCT(_motor!$B$586:$B$665*(_motor!$G$586:$G$665&gt;_motor!$G$617))+(SUMPRODUCT(_motor!$B$586:$B$665*(_motor!$G$586:$G$665=_motor!$G$617))+1)/2)</f>
        <v/>
      </c>
      <c r="F37" s="7" t="str">
        <f>IF(_motor!$B$617=0,"",SUMPRODUCT(_motor!$B$586:$B$665*(_motor!$I$586:$I$665&gt;_motor!$I$617))+(SUMPRODUCT(_motor!$B$586:$B$665*(_motor!$I$586:$I$665=_motor!$I$617))+1)/2)</f>
        <v/>
      </c>
      <c r="G37" s="7" t="str">
        <f>IF(_motor!$B$617=0,"",C37-D37)</f>
        <v/>
      </c>
      <c r="H37" s="7" t="str">
        <f>IF(_motor!$B$617=0,"",C37-E37)</f>
        <v/>
      </c>
      <c r="I37" s="2" t="str">
        <f>IF(_motor!$B$617=0,"",IF(AND(ABS(_motor!$C$617-_motor!$B$668)&lt;=_motor!$B$676+0.000000001,ABS(_motor!$D$617-_motor!$B$668)&lt;=_motor!$B$676+0.000000001),"5 · Pelotón (no concluyente)",IF(AND(_motor!$C$617&gt;=_motor!$B$668,_motor!$D$617&lt;_motor!$B$668),"1 · Entrada / determinante",IF(AND(_motor!$C$617&gt;=_motor!$B$668,_motor!$D$617&gt;=_motor!$B$668),"2 · Intermedia / de enlace",IF(AND(_motor!$C$617&lt;_motor!$B$668,_motor!$D$617&gt;=_motor!$B$668),"3 · Resultado","4 · Excluida / autónoma")))))</f>
        <v/>
      </c>
      <c r="J37" s="2" t="str">
        <f>IF(_motor!$B$617=0,"",IF(AND(ABS(_motor!$I$617-_motor!$B$671)&lt;=_motor!$B$679+0.000000001,ABS(_motor!$J$617-_motor!$B$671)&lt;=_motor!$B$679+0.000000001),"5 · Pelotón (no concluyente)",IF(AND(_motor!$I$617&gt;=_motor!$B$671,_motor!$J$617&lt;_motor!$B$671),"1 · Entrada / determinante",IF(AND(_motor!$I$617&gt;=_motor!$B$671,_motor!$J$617&gt;=_motor!$B$671),"2 · Intermedia / de enlace",IF(AND(_motor!$I$617&lt;_motor!$B$671,_motor!$J$617&gt;=_motor!$B$671),"3 · Resultado","4 · Excluida / autónoma")))))</f>
        <v/>
      </c>
      <c r="K37" s="7" t="str">
        <f>IF(_motor!$B$617=0,"",IF(LEFT(I37,1)=LEFT(J37,1),"No","SÍ"))</f>
        <v/>
      </c>
      <c r="L37" s="2" t="str">
        <f>IF(_motor!$B$617=0,"",IF(AND(G37&gt;2,H37&gt;2),"Variable oculta y además latente: su peso real está muy infravalorado en la lectura directa. Prioridad máxima de seguimiento.",IF(G37&gt;2,"Variable oculta: gobierna el sistema a través de cadenas indirectas.",IF(H37&gt;2,"Variable latente: hoy es secundaria, pero ganará peso si las relaciones potenciales se materializan.",IF(AND(G37&lt;-2,H37&lt;-2),"Su importancia aparente en la lectura directa no se sostiene ni por vía indirecta ni potencial.","Comportamiento estable en las distintas clasificaciones.")))))</f>
        <v/>
      </c>
    </row>
    <row r="38" spans="1:12" x14ac:dyDescent="0.2">
      <c r="A38" s="6" t="str">
        <f>IF(_motor!$B$618=0,"",'02 · Variables'!$B$39)</f>
        <v/>
      </c>
      <c r="B38" s="2" t="str">
        <f>IF(_motor!$B$618=0,"",'02 · Variables'!$C$39)</f>
        <v/>
      </c>
      <c r="C38" s="7" t="str">
        <f>IF(_motor!$B$618=0,"",SUMPRODUCT(_motor!$B$586:$B$665*(_motor!$C$586:$C$665&gt;_motor!$C$618))+(SUMPRODUCT(_motor!$B$586:$B$665*(_motor!$C$586:$C$665=_motor!$C$618))+1)/2)</f>
        <v/>
      </c>
      <c r="D38" s="7" t="str">
        <f>IF(_motor!$B$618=0,"",SUMPRODUCT(_motor!$B$586:$B$665*(_motor!$E$586:$E$665&gt;_motor!$E$618))+(SUMPRODUCT(_motor!$B$586:$B$665*(_motor!$E$586:$E$665=_motor!$E$618))+1)/2)</f>
        <v/>
      </c>
      <c r="E38" s="7" t="str">
        <f>IF(_motor!$B$618=0,"",SUMPRODUCT(_motor!$B$586:$B$665*(_motor!$G$586:$G$665&gt;_motor!$G$618))+(SUMPRODUCT(_motor!$B$586:$B$665*(_motor!$G$586:$G$665=_motor!$G$618))+1)/2)</f>
        <v/>
      </c>
      <c r="F38" s="7" t="str">
        <f>IF(_motor!$B$618=0,"",SUMPRODUCT(_motor!$B$586:$B$665*(_motor!$I$586:$I$665&gt;_motor!$I$618))+(SUMPRODUCT(_motor!$B$586:$B$665*(_motor!$I$586:$I$665=_motor!$I$618))+1)/2)</f>
        <v/>
      </c>
      <c r="G38" s="7" t="str">
        <f>IF(_motor!$B$618=0,"",C38-D38)</f>
        <v/>
      </c>
      <c r="H38" s="7" t="str">
        <f>IF(_motor!$B$618=0,"",C38-E38)</f>
        <v/>
      </c>
      <c r="I38" s="2" t="str">
        <f>IF(_motor!$B$618=0,"",IF(AND(ABS(_motor!$C$618-_motor!$B$668)&lt;=_motor!$B$676+0.000000001,ABS(_motor!$D$618-_motor!$B$668)&lt;=_motor!$B$676+0.000000001),"5 · Pelotón (no concluyente)",IF(AND(_motor!$C$618&gt;=_motor!$B$668,_motor!$D$618&lt;_motor!$B$668),"1 · Entrada / determinante",IF(AND(_motor!$C$618&gt;=_motor!$B$668,_motor!$D$618&gt;=_motor!$B$668),"2 · Intermedia / de enlace",IF(AND(_motor!$C$618&lt;_motor!$B$668,_motor!$D$618&gt;=_motor!$B$668),"3 · Resultado","4 · Excluida / autónoma")))))</f>
        <v/>
      </c>
      <c r="J38" s="2" t="str">
        <f>IF(_motor!$B$618=0,"",IF(AND(ABS(_motor!$I$618-_motor!$B$671)&lt;=_motor!$B$679+0.000000001,ABS(_motor!$J$618-_motor!$B$671)&lt;=_motor!$B$679+0.000000001),"5 · Pelotón (no concluyente)",IF(AND(_motor!$I$618&gt;=_motor!$B$671,_motor!$J$618&lt;_motor!$B$671),"1 · Entrada / determinante",IF(AND(_motor!$I$618&gt;=_motor!$B$671,_motor!$J$618&gt;=_motor!$B$671),"2 · Intermedia / de enlace",IF(AND(_motor!$I$618&lt;_motor!$B$671,_motor!$J$618&gt;=_motor!$B$671),"3 · Resultado","4 · Excluida / autónoma")))))</f>
        <v/>
      </c>
      <c r="K38" s="7" t="str">
        <f>IF(_motor!$B$618=0,"",IF(LEFT(I38,1)=LEFT(J38,1),"No","SÍ"))</f>
        <v/>
      </c>
      <c r="L38" s="2" t="str">
        <f>IF(_motor!$B$618=0,"",IF(AND(G38&gt;2,H38&gt;2),"Variable oculta y además latente: su peso real está muy infravalorado en la lectura directa. Prioridad máxima de seguimiento.",IF(G38&gt;2,"Variable oculta: gobierna el sistema a través de cadenas indirectas.",IF(H38&gt;2,"Variable latente: hoy es secundaria, pero ganará peso si las relaciones potenciales se materializan.",IF(AND(G38&lt;-2,H38&lt;-2),"Su importancia aparente en la lectura directa no se sostiene ni por vía indirecta ni potencial.","Comportamiento estable en las distintas clasificaciones.")))))</f>
        <v/>
      </c>
    </row>
    <row r="39" spans="1:12" x14ac:dyDescent="0.2">
      <c r="A39" s="6" t="str">
        <f>IF(_motor!$B$619=0,"",'02 · Variables'!$B$40)</f>
        <v/>
      </c>
      <c r="B39" s="2" t="str">
        <f>IF(_motor!$B$619=0,"",'02 · Variables'!$C$40)</f>
        <v/>
      </c>
      <c r="C39" s="7" t="str">
        <f>IF(_motor!$B$619=0,"",SUMPRODUCT(_motor!$B$586:$B$665*(_motor!$C$586:$C$665&gt;_motor!$C$619))+(SUMPRODUCT(_motor!$B$586:$B$665*(_motor!$C$586:$C$665=_motor!$C$619))+1)/2)</f>
        <v/>
      </c>
      <c r="D39" s="7" t="str">
        <f>IF(_motor!$B$619=0,"",SUMPRODUCT(_motor!$B$586:$B$665*(_motor!$E$586:$E$665&gt;_motor!$E$619))+(SUMPRODUCT(_motor!$B$586:$B$665*(_motor!$E$586:$E$665=_motor!$E$619))+1)/2)</f>
        <v/>
      </c>
      <c r="E39" s="7" t="str">
        <f>IF(_motor!$B$619=0,"",SUMPRODUCT(_motor!$B$586:$B$665*(_motor!$G$586:$G$665&gt;_motor!$G$619))+(SUMPRODUCT(_motor!$B$586:$B$665*(_motor!$G$586:$G$665=_motor!$G$619))+1)/2)</f>
        <v/>
      </c>
      <c r="F39" s="7" t="str">
        <f>IF(_motor!$B$619=0,"",SUMPRODUCT(_motor!$B$586:$B$665*(_motor!$I$586:$I$665&gt;_motor!$I$619))+(SUMPRODUCT(_motor!$B$586:$B$665*(_motor!$I$586:$I$665=_motor!$I$619))+1)/2)</f>
        <v/>
      </c>
      <c r="G39" s="7" t="str">
        <f>IF(_motor!$B$619=0,"",C39-D39)</f>
        <v/>
      </c>
      <c r="H39" s="7" t="str">
        <f>IF(_motor!$B$619=0,"",C39-E39)</f>
        <v/>
      </c>
      <c r="I39" s="2" t="str">
        <f>IF(_motor!$B$619=0,"",IF(AND(ABS(_motor!$C$619-_motor!$B$668)&lt;=_motor!$B$676+0.000000001,ABS(_motor!$D$619-_motor!$B$668)&lt;=_motor!$B$676+0.000000001),"5 · Pelotón (no concluyente)",IF(AND(_motor!$C$619&gt;=_motor!$B$668,_motor!$D$619&lt;_motor!$B$668),"1 · Entrada / determinante",IF(AND(_motor!$C$619&gt;=_motor!$B$668,_motor!$D$619&gt;=_motor!$B$668),"2 · Intermedia / de enlace",IF(AND(_motor!$C$619&lt;_motor!$B$668,_motor!$D$619&gt;=_motor!$B$668),"3 · Resultado","4 · Excluida / autónoma")))))</f>
        <v/>
      </c>
      <c r="J39" s="2" t="str">
        <f>IF(_motor!$B$619=0,"",IF(AND(ABS(_motor!$I$619-_motor!$B$671)&lt;=_motor!$B$679+0.000000001,ABS(_motor!$J$619-_motor!$B$671)&lt;=_motor!$B$679+0.000000001),"5 · Pelotón (no concluyente)",IF(AND(_motor!$I$619&gt;=_motor!$B$671,_motor!$J$619&lt;_motor!$B$671),"1 · Entrada / determinante",IF(AND(_motor!$I$619&gt;=_motor!$B$671,_motor!$J$619&gt;=_motor!$B$671),"2 · Intermedia / de enlace",IF(AND(_motor!$I$619&lt;_motor!$B$671,_motor!$J$619&gt;=_motor!$B$671),"3 · Resultado","4 · Excluida / autónoma")))))</f>
        <v/>
      </c>
      <c r="K39" s="7" t="str">
        <f>IF(_motor!$B$619=0,"",IF(LEFT(I39,1)=LEFT(J39,1),"No","SÍ"))</f>
        <v/>
      </c>
      <c r="L39" s="2" t="str">
        <f>IF(_motor!$B$619=0,"",IF(AND(G39&gt;2,H39&gt;2),"Variable oculta y además latente: su peso real está muy infravalorado en la lectura directa. Prioridad máxima de seguimiento.",IF(G39&gt;2,"Variable oculta: gobierna el sistema a través de cadenas indirectas.",IF(H39&gt;2,"Variable latente: hoy es secundaria, pero ganará peso si las relaciones potenciales se materializan.",IF(AND(G39&lt;-2,H39&lt;-2),"Su importancia aparente en la lectura directa no se sostiene ni por vía indirecta ni potencial.","Comportamiento estable en las distintas clasificaciones.")))))</f>
        <v/>
      </c>
    </row>
    <row r="40" spans="1:12" x14ac:dyDescent="0.2">
      <c r="A40" s="6" t="str">
        <f>IF(_motor!$B$620=0,"",'02 · Variables'!$B$41)</f>
        <v/>
      </c>
      <c r="B40" s="2" t="str">
        <f>IF(_motor!$B$620=0,"",'02 · Variables'!$C$41)</f>
        <v/>
      </c>
      <c r="C40" s="7" t="str">
        <f>IF(_motor!$B$620=0,"",SUMPRODUCT(_motor!$B$586:$B$665*(_motor!$C$586:$C$665&gt;_motor!$C$620))+(SUMPRODUCT(_motor!$B$586:$B$665*(_motor!$C$586:$C$665=_motor!$C$620))+1)/2)</f>
        <v/>
      </c>
      <c r="D40" s="7" t="str">
        <f>IF(_motor!$B$620=0,"",SUMPRODUCT(_motor!$B$586:$B$665*(_motor!$E$586:$E$665&gt;_motor!$E$620))+(SUMPRODUCT(_motor!$B$586:$B$665*(_motor!$E$586:$E$665=_motor!$E$620))+1)/2)</f>
        <v/>
      </c>
      <c r="E40" s="7" t="str">
        <f>IF(_motor!$B$620=0,"",SUMPRODUCT(_motor!$B$586:$B$665*(_motor!$G$586:$G$665&gt;_motor!$G$620))+(SUMPRODUCT(_motor!$B$586:$B$665*(_motor!$G$586:$G$665=_motor!$G$620))+1)/2)</f>
        <v/>
      </c>
      <c r="F40" s="7" t="str">
        <f>IF(_motor!$B$620=0,"",SUMPRODUCT(_motor!$B$586:$B$665*(_motor!$I$586:$I$665&gt;_motor!$I$620))+(SUMPRODUCT(_motor!$B$586:$B$665*(_motor!$I$586:$I$665=_motor!$I$620))+1)/2)</f>
        <v/>
      </c>
      <c r="G40" s="7" t="str">
        <f>IF(_motor!$B$620=0,"",C40-D40)</f>
        <v/>
      </c>
      <c r="H40" s="7" t="str">
        <f>IF(_motor!$B$620=0,"",C40-E40)</f>
        <v/>
      </c>
      <c r="I40" s="2" t="str">
        <f>IF(_motor!$B$620=0,"",IF(AND(ABS(_motor!$C$620-_motor!$B$668)&lt;=_motor!$B$676+0.000000001,ABS(_motor!$D$620-_motor!$B$668)&lt;=_motor!$B$676+0.000000001),"5 · Pelotón (no concluyente)",IF(AND(_motor!$C$620&gt;=_motor!$B$668,_motor!$D$620&lt;_motor!$B$668),"1 · Entrada / determinante",IF(AND(_motor!$C$620&gt;=_motor!$B$668,_motor!$D$620&gt;=_motor!$B$668),"2 · Intermedia / de enlace",IF(AND(_motor!$C$620&lt;_motor!$B$668,_motor!$D$620&gt;=_motor!$B$668),"3 · Resultado","4 · Excluida / autónoma")))))</f>
        <v/>
      </c>
      <c r="J40" s="2" t="str">
        <f>IF(_motor!$B$620=0,"",IF(AND(ABS(_motor!$I$620-_motor!$B$671)&lt;=_motor!$B$679+0.000000001,ABS(_motor!$J$620-_motor!$B$671)&lt;=_motor!$B$679+0.000000001),"5 · Pelotón (no concluyente)",IF(AND(_motor!$I$620&gt;=_motor!$B$671,_motor!$J$620&lt;_motor!$B$671),"1 · Entrada / determinante",IF(AND(_motor!$I$620&gt;=_motor!$B$671,_motor!$J$620&gt;=_motor!$B$671),"2 · Intermedia / de enlace",IF(AND(_motor!$I$620&lt;_motor!$B$671,_motor!$J$620&gt;=_motor!$B$671),"3 · Resultado","4 · Excluida / autónoma")))))</f>
        <v/>
      </c>
      <c r="K40" s="7" t="str">
        <f>IF(_motor!$B$620=0,"",IF(LEFT(I40,1)=LEFT(J40,1),"No","SÍ"))</f>
        <v/>
      </c>
      <c r="L40" s="2" t="str">
        <f>IF(_motor!$B$620=0,"",IF(AND(G40&gt;2,H40&gt;2),"Variable oculta y además latente: su peso real está muy infravalorado en la lectura directa. Prioridad máxima de seguimiento.",IF(G40&gt;2,"Variable oculta: gobierna el sistema a través de cadenas indirectas.",IF(H40&gt;2,"Variable latente: hoy es secundaria, pero ganará peso si las relaciones potenciales se materializan.",IF(AND(G40&lt;-2,H40&lt;-2),"Su importancia aparente en la lectura directa no se sostiene ni por vía indirecta ni potencial.","Comportamiento estable en las distintas clasificaciones.")))))</f>
        <v/>
      </c>
    </row>
    <row r="41" spans="1:12" x14ac:dyDescent="0.2">
      <c r="A41" s="6" t="str">
        <f>IF(_motor!$B$621=0,"",'02 · Variables'!$B$42)</f>
        <v/>
      </c>
      <c r="B41" s="2" t="str">
        <f>IF(_motor!$B$621=0,"",'02 · Variables'!$C$42)</f>
        <v/>
      </c>
      <c r="C41" s="7" t="str">
        <f>IF(_motor!$B$621=0,"",SUMPRODUCT(_motor!$B$586:$B$665*(_motor!$C$586:$C$665&gt;_motor!$C$621))+(SUMPRODUCT(_motor!$B$586:$B$665*(_motor!$C$586:$C$665=_motor!$C$621))+1)/2)</f>
        <v/>
      </c>
      <c r="D41" s="7" t="str">
        <f>IF(_motor!$B$621=0,"",SUMPRODUCT(_motor!$B$586:$B$665*(_motor!$E$586:$E$665&gt;_motor!$E$621))+(SUMPRODUCT(_motor!$B$586:$B$665*(_motor!$E$586:$E$665=_motor!$E$621))+1)/2)</f>
        <v/>
      </c>
      <c r="E41" s="7" t="str">
        <f>IF(_motor!$B$621=0,"",SUMPRODUCT(_motor!$B$586:$B$665*(_motor!$G$586:$G$665&gt;_motor!$G$621))+(SUMPRODUCT(_motor!$B$586:$B$665*(_motor!$G$586:$G$665=_motor!$G$621))+1)/2)</f>
        <v/>
      </c>
      <c r="F41" s="7" t="str">
        <f>IF(_motor!$B$621=0,"",SUMPRODUCT(_motor!$B$586:$B$665*(_motor!$I$586:$I$665&gt;_motor!$I$621))+(SUMPRODUCT(_motor!$B$586:$B$665*(_motor!$I$586:$I$665=_motor!$I$621))+1)/2)</f>
        <v/>
      </c>
      <c r="G41" s="7" t="str">
        <f>IF(_motor!$B$621=0,"",C41-D41)</f>
        <v/>
      </c>
      <c r="H41" s="7" t="str">
        <f>IF(_motor!$B$621=0,"",C41-E41)</f>
        <v/>
      </c>
      <c r="I41" s="2" t="str">
        <f>IF(_motor!$B$621=0,"",IF(AND(ABS(_motor!$C$621-_motor!$B$668)&lt;=_motor!$B$676+0.000000001,ABS(_motor!$D$621-_motor!$B$668)&lt;=_motor!$B$676+0.000000001),"5 · Pelotón (no concluyente)",IF(AND(_motor!$C$621&gt;=_motor!$B$668,_motor!$D$621&lt;_motor!$B$668),"1 · Entrada / determinante",IF(AND(_motor!$C$621&gt;=_motor!$B$668,_motor!$D$621&gt;=_motor!$B$668),"2 · Intermedia / de enlace",IF(AND(_motor!$C$621&lt;_motor!$B$668,_motor!$D$621&gt;=_motor!$B$668),"3 · Resultado","4 · Excluida / autónoma")))))</f>
        <v/>
      </c>
      <c r="J41" s="2" t="str">
        <f>IF(_motor!$B$621=0,"",IF(AND(ABS(_motor!$I$621-_motor!$B$671)&lt;=_motor!$B$679+0.000000001,ABS(_motor!$J$621-_motor!$B$671)&lt;=_motor!$B$679+0.000000001),"5 · Pelotón (no concluyente)",IF(AND(_motor!$I$621&gt;=_motor!$B$671,_motor!$J$621&lt;_motor!$B$671),"1 · Entrada / determinante",IF(AND(_motor!$I$621&gt;=_motor!$B$671,_motor!$J$621&gt;=_motor!$B$671),"2 · Intermedia / de enlace",IF(AND(_motor!$I$621&lt;_motor!$B$671,_motor!$J$621&gt;=_motor!$B$671),"3 · Resultado","4 · Excluida / autónoma")))))</f>
        <v/>
      </c>
      <c r="K41" s="7" t="str">
        <f>IF(_motor!$B$621=0,"",IF(LEFT(I41,1)=LEFT(J41,1),"No","SÍ"))</f>
        <v/>
      </c>
      <c r="L41" s="2" t="str">
        <f>IF(_motor!$B$621=0,"",IF(AND(G41&gt;2,H41&gt;2),"Variable oculta y además latente: su peso real está muy infravalorado en la lectura directa. Prioridad máxima de seguimiento.",IF(G41&gt;2,"Variable oculta: gobierna el sistema a través de cadenas indirectas.",IF(H41&gt;2,"Variable latente: hoy es secundaria, pero ganará peso si las relaciones potenciales se materializan.",IF(AND(G41&lt;-2,H41&lt;-2),"Su importancia aparente en la lectura directa no se sostiene ni por vía indirecta ni potencial.","Comportamiento estable en las distintas clasificaciones.")))))</f>
        <v/>
      </c>
    </row>
    <row r="42" spans="1:12" x14ac:dyDescent="0.2">
      <c r="A42" s="6" t="str">
        <f>IF(_motor!$B$622=0,"",'02 · Variables'!$B$43)</f>
        <v/>
      </c>
      <c r="B42" s="2" t="str">
        <f>IF(_motor!$B$622=0,"",'02 · Variables'!$C$43)</f>
        <v/>
      </c>
      <c r="C42" s="7" t="str">
        <f>IF(_motor!$B$622=0,"",SUMPRODUCT(_motor!$B$586:$B$665*(_motor!$C$586:$C$665&gt;_motor!$C$622))+(SUMPRODUCT(_motor!$B$586:$B$665*(_motor!$C$586:$C$665=_motor!$C$622))+1)/2)</f>
        <v/>
      </c>
      <c r="D42" s="7" t="str">
        <f>IF(_motor!$B$622=0,"",SUMPRODUCT(_motor!$B$586:$B$665*(_motor!$E$586:$E$665&gt;_motor!$E$622))+(SUMPRODUCT(_motor!$B$586:$B$665*(_motor!$E$586:$E$665=_motor!$E$622))+1)/2)</f>
        <v/>
      </c>
      <c r="E42" s="7" t="str">
        <f>IF(_motor!$B$622=0,"",SUMPRODUCT(_motor!$B$586:$B$665*(_motor!$G$586:$G$665&gt;_motor!$G$622))+(SUMPRODUCT(_motor!$B$586:$B$665*(_motor!$G$586:$G$665=_motor!$G$622))+1)/2)</f>
        <v/>
      </c>
      <c r="F42" s="7" t="str">
        <f>IF(_motor!$B$622=0,"",SUMPRODUCT(_motor!$B$586:$B$665*(_motor!$I$586:$I$665&gt;_motor!$I$622))+(SUMPRODUCT(_motor!$B$586:$B$665*(_motor!$I$586:$I$665=_motor!$I$622))+1)/2)</f>
        <v/>
      </c>
      <c r="G42" s="7" t="str">
        <f>IF(_motor!$B$622=0,"",C42-D42)</f>
        <v/>
      </c>
      <c r="H42" s="7" t="str">
        <f>IF(_motor!$B$622=0,"",C42-E42)</f>
        <v/>
      </c>
      <c r="I42" s="2" t="str">
        <f>IF(_motor!$B$622=0,"",IF(AND(ABS(_motor!$C$622-_motor!$B$668)&lt;=_motor!$B$676+0.000000001,ABS(_motor!$D$622-_motor!$B$668)&lt;=_motor!$B$676+0.000000001),"5 · Pelotón (no concluyente)",IF(AND(_motor!$C$622&gt;=_motor!$B$668,_motor!$D$622&lt;_motor!$B$668),"1 · Entrada / determinante",IF(AND(_motor!$C$622&gt;=_motor!$B$668,_motor!$D$622&gt;=_motor!$B$668),"2 · Intermedia / de enlace",IF(AND(_motor!$C$622&lt;_motor!$B$668,_motor!$D$622&gt;=_motor!$B$668),"3 · Resultado","4 · Excluida / autónoma")))))</f>
        <v/>
      </c>
      <c r="J42" s="2" t="str">
        <f>IF(_motor!$B$622=0,"",IF(AND(ABS(_motor!$I$622-_motor!$B$671)&lt;=_motor!$B$679+0.000000001,ABS(_motor!$J$622-_motor!$B$671)&lt;=_motor!$B$679+0.000000001),"5 · Pelotón (no concluyente)",IF(AND(_motor!$I$622&gt;=_motor!$B$671,_motor!$J$622&lt;_motor!$B$671),"1 · Entrada / determinante",IF(AND(_motor!$I$622&gt;=_motor!$B$671,_motor!$J$622&gt;=_motor!$B$671),"2 · Intermedia / de enlace",IF(AND(_motor!$I$622&lt;_motor!$B$671,_motor!$J$622&gt;=_motor!$B$671),"3 · Resultado","4 · Excluida / autónoma")))))</f>
        <v/>
      </c>
      <c r="K42" s="7" t="str">
        <f>IF(_motor!$B$622=0,"",IF(LEFT(I42,1)=LEFT(J42,1),"No","SÍ"))</f>
        <v/>
      </c>
      <c r="L42" s="2" t="str">
        <f>IF(_motor!$B$622=0,"",IF(AND(G42&gt;2,H42&gt;2),"Variable oculta y además latente: su peso real está muy infravalorado en la lectura directa. Prioridad máxima de seguimiento.",IF(G42&gt;2,"Variable oculta: gobierna el sistema a través de cadenas indirectas.",IF(H42&gt;2,"Variable latente: hoy es secundaria, pero ganará peso si las relaciones potenciales se materializan.",IF(AND(G42&lt;-2,H42&lt;-2),"Su importancia aparente en la lectura directa no se sostiene ni por vía indirecta ni potencial.","Comportamiento estable en las distintas clasificaciones.")))))</f>
        <v/>
      </c>
    </row>
    <row r="43" spans="1:12" x14ac:dyDescent="0.2">
      <c r="A43" s="6" t="str">
        <f>IF(_motor!$B$623=0,"",'02 · Variables'!$B$44)</f>
        <v/>
      </c>
      <c r="B43" s="2" t="str">
        <f>IF(_motor!$B$623=0,"",'02 · Variables'!$C$44)</f>
        <v/>
      </c>
      <c r="C43" s="7" t="str">
        <f>IF(_motor!$B$623=0,"",SUMPRODUCT(_motor!$B$586:$B$665*(_motor!$C$586:$C$665&gt;_motor!$C$623))+(SUMPRODUCT(_motor!$B$586:$B$665*(_motor!$C$586:$C$665=_motor!$C$623))+1)/2)</f>
        <v/>
      </c>
      <c r="D43" s="7" t="str">
        <f>IF(_motor!$B$623=0,"",SUMPRODUCT(_motor!$B$586:$B$665*(_motor!$E$586:$E$665&gt;_motor!$E$623))+(SUMPRODUCT(_motor!$B$586:$B$665*(_motor!$E$586:$E$665=_motor!$E$623))+1)/2)</f>
        <v/>
      </c>
      <c r="E43" s="7" t="str">
        <f>IF(_motor!$B$623=0,"",SUMPRODUCT(_motor!$B$586:$B$665*(_motor!$G$586:$G$665&gt;_motor!$G$623))+(SUMPRODUCT(_motor!$B$586:$B$665*(_motor!$G$586:$G$665=_motor!$G$623))+1)/2)</f>
        <v/>
      </c>
      <c r="F43" s="7" t="str">
        <f>IF(_motor!$B$623=0,"",SUMPRODUCT(_motor!$B$586:$B$665*(_motor!$I$586:$I$665&gt;_motor!$I$623))+(SUMPRODUCT(_motor!$B$586:$B$665*(_motor!$I$586:$I$665=_motor!$I$623))+1)/2)</f>
        <v/>
      </c>
      <c r="G43" s="7" t="str">
        <f>IF(_motor!$B$623=0,"",C43-D43)</f>
        <v/>
      </c>
      <c r="H43" s="7" t="str">
        <f>IF(_motor!$B$623=0,"",C43-E43)</f>
        <v/>
      </c>
      <c r="I43" s="2" t="str">
        <f>IF(_motor!$B$623=0,"",IF(AND(ABS(_motor!$C$623-_motor!$B$668)&lt;=_motor!$B$676+0.000000001,ABS(_motor!$D$623-_motor!$B$668)&lt;=_motor!$B$676+0.000000001),"5 · Pelotón (no concluyente)",IF(AND(_motor!$C$623&gt;=_motor!$B$668,_motor!$D$623&lt;_motor!$B$668),"1 · Entrada / determinante",IF(AND(_motor!$C$623&gt;=_motor!$B$668,_motor!$D$623&gt;=_motor!$B$668),"2 · Intermedia / de enlace",IF(AND(_motor!$C$623&lt;_motor!$B$668,_motor!$D$623&gt;=_motor!$B$668),"3 · Resultado","4 · Excluida / autónoma")))))</f>
        <v/>
      </c>
      <c r="J43" s="2" t="str">
        <f>IF(_motor!$B$623=0,"",IF(AND(ABS(_motor!$I$623-_motor!$B$671)&lt;=_motor!$B$679+0.000000001,ABS(_motor!$J$623-_motor!$B$671)&lt;=_motor!$B$679+0.000000001),"5 · Pelotón (no concluyente)",IF(AND(_motor!$I$623&gt;=_motor!$B$671,_motor!$J$623&lt;_motor!$B$671),"1 · Entrada / determinante",IF(AND(_motor!$I$623&gt;=_motor!$B$671,_motor!$J$623&gt;=_motor!$B$671),"2 · Intermedia / de enlace",IF(AND(_motor!$I$623&lt;_motor!$B$671,_motor!$J$623&gt;=_motor!$B$671),"3 · Resultado","4 · Excluida / autónoma")))))</f>
        <v/>
      </c>
      <c r="K43" s="7" t="str">
        <f>IF(_motor!$B$623=0,"",IF(LEFT(I43,1)=LEFT(J43,1),"No","SÍ"))</f>
        <v/>
      </c>
      <c r="L43" s="2" t="str">
        <f>IF(_motor!$B$623=0,"",IF(AND(G43&gt;2,H43&gt;2),"Variable oculta y además latente: su peso real está muy infravalorado en la lectura directa. Prioridad máxima de seguimiento.",IF(G43&gt;2,"Variable oculta: gobierna el sistema a través de cadenas indirectas.",IF(H43&gt;2,"Variable latente: hoy es secundaria, pero ganará peso si las relaciones potenciales se materializan.",IF(AND(G43&lt;-2,H43&lt;-2),"Su importancia aparente en la lectura directa no se sostiene ni por vía indirecta ni potencial.","Comportamiento estable en las distintas clasificaciones.")))))</f>
        <v/>
      </c>
    </row>
    <row r="44" spans="1:12" x14ac:dyDescent="0.2">
      <c r="A44" s="6" t="str">
        <f>IF(_motor!$B$624=0,"",'02 · Variables'!$B$45)</f>
        <v/>
      </c>
      <c r="B44" s="2" t="str">
        <f>IF(_motor!$B$624=0,"",'02 · Variables'!$C$45)</f>
        <v/>
      </c>
      <c r="C44" s="7" t="str">
        <f>IF(_motor!$B$624=0,"",SUMPRODUCT(_motor!$B$586:$B$665*(_motor!$C$586:$C$665&gt;_motor!$C$624))+(SUMPRODUCT(_motor!$B$586:$B$665*(_motor!$C$586:$C$665=_motor!$C$624))+1)/2)</f>
        <v/>
      </c>
      <c r="D44" s="7" t="str">
        <f>IF(_motor!$B$624=0,"",SUMPRODUCT(_motor!$B$586:$B$665*(_motor!$E$586:$E$665&gt;_motor!$E$624))+(SUMPRODUCT(_motor!$B$586:$B$665*(_motor!$E$586:$E$665=_motor!$E$624))+1)/2)</f>
        <v/>
      </c>
      <c r="E44" s="7" t="str">
        <f>IF(_motor!$B$624=0,"",SUMPRODUCT(_motor!$B$586:$B$665*(_motor!$G$586:$G$665&gt;_motor!$G$624))+(SUMPRODUCT(_motor!$B$586:$B$665*(_motor!$G$586:$G$665=_motor!$G$624))+1)/2)</f>
        <v/>
      </c>
      <c r="F44" s="7" t="str">
        <f>IF(_motor!$B$624=0,"",SUMPRODUCT(_motor!$B$586:$B$665*(_motor!$I$586:$I$665&gt;_motor!$I$624))+(SUMPRODUCT(_motor!$B$586:$B$665*(_motor!$I$586:$I$665=_motor!$I$624))+1)/2)</f>
        <v/>
      </c>
      <c r="G44" s="7" t="str">
        <f>IF(_motor!$B$624=0,"",C44-D44)</f>
        <v/>
      </c>
      <c r="H44" s="7" t="str">
        <f>IF(_motor!$B$624=0,"",C44-E44)</f>
        <v/>
      </c>
      <c r="I44" s="2" t="str">
        <f>IF(_motor!$B$624=0,"",IF(AND(ABS(_motor!$C$624-_motor!$B$668)&lt;=_motor!$B$676+0.000000001,ABS(_motor!$D$624-_motor!$B$668)&lt;=_motor!$B$676+0.000000001),"5 · Pelotón (no concluyente)",IF(AND(_motor!$C$624&gt;=_motor!$B$668,_motor!$D$624&lt;_motor!$B$668),"1 · Entrada / determinante",IF(AND(_motor!$C$624&gt;=_motor!$B$668,_motor!$D$624&gt;=_motor!$B$668),"2 · Intermedia / de enlace",IF(AND(_motor!$C$624&lt;_motor!$B$668,_motor!$D$624&gt;=_motor!$B$668),"3 · Resultado","4 · Excluida / autónoma")))))</f>
        <v/>
      </c>
      <c r="J44" s="2" t="str">
        <f>IF(_motor!$B$624=0,"",IF(AND(ABS(_motor!$I$624-_motor!$B$671)&lt;=_motor!$B$679+0.000000001,ABS(_motor!$J$624-_motor!$B$671)&lt;=_motor!$B$679+0.000000001),"5 · Pelotón (no concluyente)",IF(AND(_motor!$I$624&gt;=_motor!$B$671,_motor!$J$624&lt;_motor!$B$671),"1 · Entrada / determinante",IF(AND(_motor!$I$624&gt;=_motor!$B$671,_motor!$J$624&gt;=_motor!$B$671),"2 · Intermedia / de enlace",IF(AND(_motor!$I$624&lt;_motor!$B$671,_motor!$J$624&gt;=_motor!$B$671),"3 · Resultado","4 · Excluida / autónoma")))))</f>
        <v/>
      </c>
      <c r="K44" s="7" t="str">
        <f>IF(_motor!$B$624=0,"",IF(LEFT(I44,1)=LEFT(J44,1),"No","SÍ"))</f>
        <v/>
      </c>
      <c r="L44" s="2" t="str">
        <f>IF(_motor!$B$624=0,"",IF(AND(G44&gt;2,H44&gt;2),"Variable oculta y además latente: su peso real está muy infravalorado en la lectura directa. Prioridad máxima de seguimiento.",IF(G44&gt;2,"Variable oculta: gobierna el sistema a través de cadenas indirectas.",IF(H44&gt;2,"Variable latente: hoy es secundaria, pero ganará peso si las relaciones potenciales se materializan.",IF(AND(G44&lt;-2,H44&lt;-2),"Su importancia aparente en la lectura directa no se sostiene ni por vía indirecta ni potencial.","Comportamiento estable en las distintas clasificaciones.")))))</f>
        <v/>
      </c>
    </row>
    <row r="45" spans="1:12" x14ac:dyDescent="0.2">
      <c r="A45" s="6" t="str">
        <f>IF(_motor!$B$625=0,"",'02 · Variables'!$B$46)</f>
        <v/>
      </c>
      <c r="B45" s="2" t="str">
        <f>IF(_motor!$B$625=0,"",'02 · Variables'!$C$46)</f>
        <v/>
      </c>
      <c r="C45" s="7" t="str">
        <f>IF(_motor!$B$625=0,"",SUMPRODUCT(_motor!$B$586:$B$665*(_motor!$C$586:$C$665&gt;_motor!$C$625))+(SUMPRODUCT(_motor!$B$586:$B$665*(_motor!$C$586:$C$665=_motor!$C$625))+1)/2)</f>
        <v/>
      </c>
      <c r="D45" s="7" t="str">
        <f>IF(_motor!$B$625=0,"",SUMPRODUCT(_motor!$B$586:$B$665*(_motor!$E$586:$E$665&gt;_motor!$E$625))+(SUMPRODUCT(_motor!$B$586:$B$665*(_motor!$E$586:$E$665=_motor!$E$625))+1)/2)</f>
        <v/>
      </c>
      <c r="E45" s="7" t="str">
        <f>IF(_motor!$B$625=0,"",SUMPRODUCT(_motor!$B$586:$B$665*(_motor!$G$586:$G$665&gt;_motor!$G$625))+(SUMPRODUCT(_motor!$B$586:$B$665*(_motor!$G$586:$G$665=_motor!$G$625))+1)/2)</f>
        <v/>
      </c>
      <c r="F45" s="7" t="str">
        <f>IF(_motor!$B$625=0,"",SUMPRODUCT(_motor!$B$586:$B$665*(_motor!$I$586:$I$665&gt;_motor!$I$625))+(SUMPRODUCT(_motor!$B$586:$B$665*(_motor!$I$586:$I$665=_motor!$I$625))+1)/2)</f>
        <v/>
      </c>
      <c r="G45" s="7" t="str">
        <f>IF(_motor!$B$625=0,"",C45-D45)</f>
        <v/>
      </c>
      <c r="H45" s="7" t="str">
        <f>IF(_motor!$B$625=0,"",C45-E45)</f>
        <v/>
      </c>
      <c r="I45" s="2" t="str">
        <f>IF(_motor!$B$625=0,"",IF(AND(ABS(_motor!$C$625-_motor!$B$668)&lt;=_motor!$B$676+0.000000001,ABS(_motor!$D$625-_motor!$B$668)&lt;=_motor!$B$676+0.000000001),"5 · Pelotón (no concluyente)",IF(AND(_motor!$C$625&gt;=_motor!$B$668,_motor!$D$625&lt;_motor!$B$668),"1 · Entrada / determinante",IF(AND(_motor!$C$625&gt;=_motor!$B$668,_motor!$D$625&gt;=_motor!$B$668),"2 · Intermedia / de enlace",IF(AND(_motor!$C$625&lt;_motor!$B$668,_motor!$D$625&gt;=_motor!$B$668),"3 · Resultado","4 · Excluida / autónoma")))))</f>
        <v/>
      </c>
      <c r="J45" s="2" t="str">
        <f>IF(_motor!$B$625=0,"",IF(AND(ABS(_motor!$I$625-_motor!$B$671)&lt;=_motor!$B$679+0.000000001,ABS(_motor!$J$625-_motor!$B$671)&lt;=_motor!$B$679+0.000000001),"5 · Pelotón (no concluyente)",IF(AND(_motor!$I$625&gt;=_motor!$B$671,_motor!$J$625&lt;_motor!$B$671),"1 · Entrada / determinante",IF(AND(_motor!$I$625&gt;=_motor!$B$671,_motor!$J$625&gt;=_motor!$B$671),"2 · Intermedia / de enlace",IF(AND(_motor!$I$625&lt;_motor!$B$671,_motor!$J$625&gt;=_motor!$B$671),"3 · Resultado","4 · Excluida / autónoma")))))</f>
        <v/>
      </c>
      <c r="K45" s="7" t="str">
        <f>IF(_motor!$B$625=0,"",IF(LEFT(I45,1)=LEFT(J45,1),"No","SÍ"))</f>
        <v/>
      </c>
      <c r="L45" s="2" t="str">
        <f>IF(_motor!$B$625=0,"",IF(AND(G45&gt;2,H45&gt;2),"Variable oculta y además latente: su peso real está muy infravalorado en la lectura directa. Prioridad máxima de seguimiento.",IF(G45&gt;2,"Variable oculta: gobierna el sistema a través de cadenas indirectas.",IF(H45&gt;2,"Variable latente: hoy es secundaria, pero ganará peso si las relaciones potenciales se materializan.",IF(AND(G45&lt;-2,H45&lt;-2),"Su importancia aparente en la lectura directa no se sostiene ni por vía indirecta ni potencial.","Comportamiento estable en las distintas clasificaciones.")))))</f>
        <v/>
      </c>
    </row>
    <row r="46" spans="1:12" x14ac:dyDescent="0.2">
      <c r="A46" s="6" t="str">
        <f>IF(_motor!$B$626=0,"",'02 · Variables'!$B$47)</f>
        <v/>
      </c>
      <c r="B46" s="2" t="str">
        <f>IF(_motor!$B$626=0,"",'02 · Variables'!$C$47)</f>
        <v/>
      </c>
      <c r="C46" s="7" t="str">
        <f>IF(_motor!$B$626=0,"",SUMPRODUCT(_motor!$B$586:$B$665*(_motor!$C$586:$C$665&gt;_motor!$C$626))+(SUMPRODUCT(_motor!$B$586:$B$665*(_motor!$C$586:$C$665=_motor!$C$626))+1)/2)</f>
        <v/>
      </c>
      <c r="D46" s="7" t="str">
        <f>IF(_motor!$B$626=0,"",SUMPRODUCT(_motor!$B$586:$B$665*(_motor!$E$586:$E$665&gt;_motor!$E$626))+(SUMPRODUCT(_motor!$B$586:$B$665*(_motor!$E$586:$E$665=_motor!$E$626))+1)/2)</f>
        <v/>
      </c>
      <c r="E46" s="7" t="str">
        <f>IF(_motor!$B$626=0,"",SUMPRODUCT(_motor!$B$586:$B$665*(_motor!$G$586:$G$665&gt;_motor!$G$626))+(SUMPRODUCT(_motor!$B$586:$B$665*(_motor!$G$586:$G$665=_motor!$G$626))+1)/2)</f>
        <v/>
      </c>
      <c r="F46" s="7" t="str">
        <f>IF(_motor!$B$626=0,"",SUMPRODUCT(_motor!$B$586:$B$665*(_motor!$I$586:$I$665&gt;_motor!$I$626))+(SUMPRODUCT(_motor!$B$586:$B$665*(_motor!$I$586:$I$665=_motor!$I$626))+1)/2)</f>
        <v/>
      </c>
      <c r="G46" s="7" t="str">
        <f>IF(_motor!$B$626=0,"",C46-D46)</f>
        <v/>
      </c>
      <c r="H46" s="7" t="str">
        <f>IF(_motor!$B$626=0,"",C46-E46)</f>
        <v/>
      </c>
      <c r="I46" s="2" t="str">
        <f>IF(_motor!$B$626=0,"",IF(AND(ABS(_motor!$C$626-_motor!$B$668)&lt;=_motor!$B$676+0.000000001,ABS(_motor!$D$626-_motor!$B$668)&lt;=_motor!$B$676+0.000000001),"5 · Pelotón (no concluyente)",IF(AND(_motor!$C$626&gt;=_motor!$B$668,_motor!$D$626&lt;_motor!$B$668),"1 · Entrada / determinante",IF(AND(_motor!$C$626&gt;=_motor!$B$668,_motor!$D$626&gt;=_motor!$B$668),"2 · Intermedia / de enlace",IF(AND(_motor!$C$626&lt;_motor!$B$668,_motor!$D$626&gt;=_motor!$B$668),"3 · Resultado","4 · Excluida / autónoma")))))</f>
        <v/>
      </c>
      <c r="J46" s="2" t="str">
        <f>IF(_motor!$B$626=0,"",IF(AND(ABS(_motor!$I$626-_motor!$B$671)&lt;=_motor!$B$679+0.000000001,ABS(_motor!$J$626-_motor!$B$671)&lt;=_motor!$B$679+0.000000001),"5 · Pelotón (no concluyente)",IF(AND(_motor!$I$626&gt;=_motor!$B$671,_motor!$J$626&lt;_motor!$B$671),"1 · Entrada / determinante",IF(AND(_motor!$I$626&gt;=_motor!$B$671,_motor!$J$626&gt;=_motor!$B$671),"2 · Intermedia / de enlace",IF(AND(_motor!$I$626&lt;_motor!$B$671,_motor!$J$626&gt;=_motor!$B$671),"3 · Resultado","4 · Excluida / autónoma")))))</f>
        <v/>
      </c>
      <c r="K46" s="7" t="str">
        <f>IF(_motor!$B$626=0,"",IF(LEFT(I46,1)=LEFT(J46,1),"No","SÍ"))</f>
        <v/>
      </c>
      <c r="L46" s="2" t="str">
        <f>IF(_motor!$B$626=0,"",IF(AND(G46&gt;2,H46&gt;2),"Variable oculta y además latente: su peso real está muy infravalorado en la lectura directa. Prioridad máxima de seguimiento.",IF(G46&gt;2,"Variable oculta: gobierna el sistema a través de cadenas indirectas.",IF(H46&gt;2,"Variable latente: hoy es secundaria, pero ganará peso si las relaciones potenciales se materializan.",IF(AND(G46&lt;-2,H46&lt;-2),"Su importancia aparente en la lectura directa no se sostiene ni por vía indirecta ni potencial.","Comportamiento estable en las distintas clasificaciones.")))))</f>
        <v/>
      </c>
    </row>
    <row r="47" spans="1:12" x14ac:dyDescent="0.2">
      <c r="A47" s="6" t="str">
        <f>IF(_motor!$B$627=0,"",'02 · Variables'!$B$48)</f>
        <v/>
      </c>
      <c r="B47" s="2" t="str">
        <f>IF(_motor!$B$627=0,"",'02 · Variables'!$C$48)</f>
        <v/>
      </c>
      <c r="C47" s="7" t="str">
        <f>IF(_motor!$B$627=0,"",SUMPRODUCT(_motor!$B$586:$B$665*(_motor!$C$586:$C$665&gt;_motor!$C$627))+(SUMPRODUCT(_motor!$B$586:$B$665*(_motor!$C$586:$C$665=_motor!$C$627))+1)/2)</f>
        <v/>
      </c>
      <c r="D47" s="7" t="str">
        <f>IF(_motor!$B$627=0,"",SUMPRODUCT(_motor!$B$586:$B$665*(_motor!$E$586:$E$665&gt;_motor!$E$627))+(SUMPRODUCT(_motor!$B$586:$B$665*(_motor!$E$586:$E$665=_motor!$E$627))+1)/2)</f>
        <v/>
      </c>
      <c r="E47" s="7" t="str">
        <f>IF(_motor!$B$627=0,"",SUMPRODUCT(_motor!$B$586:$B$665*(_motor!$G$586:$G$665&gt;_motor!$G$627))+(SUMPRODUCT(_motor!$B$586:$B$665*(_motor!$G$586:$G$665=_motor!$G$627))+1)/2)</f>
        <v/>
      </c>
      <c r="F47" s="7" t="str">
        <f>IF(_motor!$B$627=0,"",SUMPRODUCT(_motor!$B$586:$B$665*(_motor!$I$586:$I$665&gt;_motor!$I$627))+(SUMPRODUCT(_motor!$B$586:$B$665*(_motor!$I$586:$I$665=_motor!$I$627))+1)/2)</f>
        <v/>
      </c>
      <c r="G47" s="7" t="str">
        <f>IF(_motor!$B$627=0,"",C47-D47)</f>
        <v/>
      </c>
      <c r="H47" s="7" t="str">
        <f>IF(_motor!$B$627=0,"",C47-E47)</f>
        <v/>
      </c>
      <c r="I47" s="2" t="str">
        <f>IF(_motor!$B$627=0,"",IF(AND(ABS(_motor!$C$627-_motor!$B$668)&lt;=_motor!$B$676+0.000000001,ABS(_motor!$D$627-_motor!$B$668)&lt;=_motor!$B$676+0.000000001),"5 · Pelotón (no concluyente)",IF(AND(_motor!$C$627&gt;=_motor!$B$668,_motor!$D$627&lt;_motor!$B$668),"1 · Entrada / determinante",IF(AND(_motor!$C$627&gt;=_motor!$B$668,_motor!$D$627&gt;=_motor!$B$668),"2 · Intermedia / de enlace",IF(AND(_motor!$C$627&lt;_motor!$B$668,_motor!$D$627&gt;=_motor!$B$668),"3 · Resultado","4 · Excluida / autónoma")))))</f>
        <v/>
      </c>
      <c r="J47" s="2" t="str">
        <f>IF(_motor!$B$627=0,"",IF(AND(ABS(_motor!$I$627-_motor!$B$671)&lt;=_motor!$B$679+0.000000001,ABS(_motor!$J$627-_motor!$B$671)&lt;=_motor!$B$679+0.000000001),"5 · Pelotón (no concluyente)",IF(AND(_motor!$I$627&gt;=_motor!$B$671,_motor!$J$627&lt;_motor!$B$671),"1 · Entrada / determinante",IF(AND(_motor!$I$627&gt;=_motor!$B$671,_motor!$J$627&gt;=_motor!$B$671),"2 · Intermedia / de enlace",IF(AND(_motor!$I$627&lt;_motor!$B$671,_motor!$J$627&gt;=_motor!$B$671),"3 · Resultado","4 · Excluida / autónoma")))))</f>
        <v/>
      </c>
      <c r="K47" s="7" t="str">
        <f>IF(_motor!$B$627=0,"",IF(LEFT(I47,1)=LEFT(J47,1),"No","SÍ"))</f>
        <v/>
      </c>
      <c r="L47" s="2" t="str">
        <f>IF(_motor!$B$627=0,"",IF(AND(G47&gt;2,H47&gt;2),"Variable oculta y además latente: su peso real está muy infravalorado en la lectura directa. Prioridad máxima de seguimiento.",IF(G47&gt;2,"Variable oculta: gobierna el sistema a través de cadenas indirectas.",IF(H47&gt;2,"Variable latente: hoy es secundaria, pero ganará peso si las relaciones potenciales se materializan.",IF(AND(G47&lt;-2,H47&lt;-2),"Su importancia aparente en la lectura directa no se sostiene ni por vía indirecta ni potencial.","Comportamiento estable en las distintas clasificaciones.")))))</f>
        <v/>
      </c>
    </row>
    <row r="48" spans="1:12" x14ac:dyDescent="0.2">
      <c r="A48" s="6" t="str">
        <f>IF(_motor!$B$628=0,"",'02 · Variables'!$B$49)</f>
        <v/>
      </c>
      <c r="B48" s="2" t="str">
        <f>IF(_motor!$B$628=0,"",'02 · Variables'!$C$49)</f>
        <v/>
      </c>
      <c r="C48" s="7" t="str">
        <f>IF(_motor!$B$628=0,"",SUMPRODUCT(_motor!$B$586:$B$665*(_motor!$C$586:$C$665&gt;_motor!$C$628))+(SUMPRODUCT(_motor!$B$586:$B$665*(_motor!$C$586:$C$665=_motor!$C$628))+1)/2)</f>
        <v/>
      </c>
      <c r="D48" s="7" t="str">
        <f>IF(_motor!$B$628=0,"",SUMPRODUCT(_motor!$B$586:$B$665*(_motor!$E$586:$E$665&gt;_motor!$E$628))+(SUMPRODUCT(_motor!$B$586:$B$665*(_motor!$E$586:$E$665=_motor!$E$628))+1)/2)</f>
        <v/>
      </c>
      <c r="E48" s="7" t="str">
        <f>IF(_motor!$B$628=0,"",SUMPRODUCT(_motor!$B$586:$B$665*(_motor!$G$586:$G$665&gt;_motor!$G$628))+(SUMPRODUCT(_motor!$B$586:$B$665*(_motor!$G$586:$G$665=_motor!$G$628))+1)/2)</f>
        <v/>
      </c>
      <c r="F48" s="7" t="str">
        <f>IF(_motor!$B$628=0,"",SUMPRODUCT(_motor!$B$586:$B$665*(_motor!$I$586:$I$665&gt;_motor!$I$628))+(SUMPRODUCT(_motor!$B$586:$B$665*(_motor!$I$586:$I$665=_motor!$I$628))+1)/2)</f>
        <v/>
      </c>
      <c r="G48" s="7" t="str">
        <f>IF(_motor!$B$628=0,"",C48-D48)</f>
        <v/>
      </c>
      <c r="H48" s="7" t="str">
        <f>IF(_motor!$B$628=0,"",C48-E48)</f>
        <v/>
      </c>
      <c r="I48" s="2" t="str">
        <f>IF(_motor!$B$628=0,"",IF(AND(ABS(_motor!$C$628-_motor!$B$668)&lt;=_motor!$B$676+0.000000001,ABS(_motor!$D$628-_motor!$B$668)&lt;=_motor!$B$676+0.000000001),"5 · Pelotón (no concluyente)",IF(AND(_motor!$C$628&gt;=_motor!$B$668,_motor!$D$628&lt;_motor!$B$668),"1 · Entrada / determinante",IF(AND(_motor!$C$628&gt;=_motor!$B$668,_motor!$D$628&gt;=_motor!$B$668),"2 · Intermedia / de enlace",IF(AND(_motor!$C$628&lt;_motor!$B$668,_motor!$D$628&gt;=_motor!$B$668),"3 · Resultado","4 · Excluida / autónoma")))))</f>
        <v/>
      </c>
      <c r="J48" s="2" t="str">
        <f>IF(_motor!$B$628=0,"",IF(AND(ABS(_motor!$I$628-_motor!$B$671)&lt;=_motor!$B$679+0.000000001,ABS(_motor!$J$628-_motor!$B$671)&lt;=_motor!$B$679+0.000000001),"5 · Pelotón (no concluyente)",IF(AND(_motor!$I$628&gt;=_motor!$B$671,_motor!$J$628&lt;_motor!$B$671),"1 · Entrada / determinante",IF(AND(_motor!$I$628&gt;=_motor!$B$671,_motor!$J$628&gt;=_motor!$B$671),"2 · Intermedia / de enlace",IF(AND(_motor!$I$628&lt;_motor!$B$671,_motor!$J$628&gt;=_motor!$B$671),"3 · Resultado","4 · Excluida / autónoma")))))</f>
        <v/>
      </c>
      <c r="K48" s="7" t="str">
        <f>IF(_motor!$B$628=0,"",IF(LEFT(I48,1)=LEFT(J48,1),"No","SÍ"))</f>
        <v/>
      </c>
      <c r="L48" s="2" t="str">
        <f>IF(_motor!$B$628=0,"",IF(AND(G48&gt;2,H48&gt;2),"Variable oculta y además latente: su peso real está muy infravalorado en la lectura directa. Prioridad máxima de seguimiento.",IF(G48&gt;2,"Variable oculta: gobierna el sistema a través de cadenas indirectas.",IF(H48&gt;2,"Variable latente: hoy es secundaria, pero ganará peso si las relaciones potenciales se materializan.",IF(AND(G48&lt;-2,H48&lt;-2),"Su importancia aparente en la lectura directa no se sostiene ni por vía indirecta ni potencial.","Comportamiento estable en las distintas clasificaciones.")))))</f>
        <v/>
      </c>
    </row>
    <row r="49" spans="1:12" x14ac:dyDescent="0.2">
      <c r="A49" s="6" t="str">
        <f>IF(_motor!$B$629=0,"",'02 · Variables'!$B$50)</f>
        <v/>
      </c>
      <c r="B49" s="2" t="str">
        <f>IF(_motor!$B$629=0,"",'02 · Variables'!$C$50)</f>
        <v/>
      </c>
      <c r="C49" s="7" t="str">
        <f>IF(_motor!$B$629=0,"",SUMPRODUCT(_motor!$B$586:$B$665*(_motor!$C$586:$C$665&gt;_motor!$C$629))+(SUMPRODUCT(_motor!$B$586:$B$665*(_motor!$C$586:$C$665=_motor!$C$629))+1)/2)</f>
        <v/>
      </c>
      <c r="D49" s="7" t="str">
        <f>IF(_motor!$B$629=0,"",SUMPRODUCT(_motor!$B$586:$B$665*(_motor!$E$586:$E$665&gt;_motor!$E$629))+(SUMPRODUCT(_motor!$B$586:$B$665*(_motor!$E$586:$E$665=_motor!$E$629))+1)/2)</f>
        <v/>
      </c>
      <c r="E49" s="7" t="str">
        <f>IF(_motor!$B$629=0,"",SUMPRODUCT(_motor!$B$586:$B$665*(_motor!$G$586:$G$665&gt;_motor!$G$629))+(SUMPRODUCT(_motor!$B$586:$B$665*(_motor!$G$586:$G$665=_motor!$G$629))+1)/2)</f>
        <v/>
      </c>
      <c r="F49" s="7" t="str">
        <f>IF(_motor!$B$629=0,"",SUMPRODUCT(_motor!$B$586:$B$665*(_motor!$I$586:$I$665&gt;_motor!$I$629))+(SUMPRODUCT(_motor!$B$586:$B$665*(_motor!$I$586:$I$665=_motor!$I$629))+1)/2)</f>
        <v/>
      </c>
      <c r="G49" s="7" t="str">
        <f>IF(_motor!$B$629=0,"",C49-D49)</f>
        <v/>
      </c>
      <c r="H49" s="7" t="str">
        <f>IF(_motor!$B$629=0,"",C49-E49)</f>
        <v/>
      </c>
      <c r="I49" s="2" t="str">
        <f>IF(_motor!$B$629=0,"",IF(AND(ABS(_motor!$C$629-_motor!$B$668)&lt;=_motor!$B$676+0.000000001,ABS(_motor!$D$629-_motor!$B$668)&lt;=_motor!$B$676+0.000000001),"5 · Pelotón (no concluyente)",IF(AND(_motor!$C$629&gt;=_motor!$B$668,_motor!$D$629&lt;_motor!$B$668),"1 · Entrada / determinante",IF(AND(_motor!$C$629&gt;=_motor!$B$668,_motor!$D$629&gt;=_motor!$B$668),"2 · Intermedia / de enlace",IF(AND(_motor!$C$629&lt;_motor!$B$668,_motor!$D$629&gt;=_motor!$B$668),"3 · Resultado","4 · Excluida / autónoma")))))</f>
        <v/>
      </c>
      <c r="J49" s="2" t="str">
        <f>IF(_motor!$B$629=0,"",IF(AND(ABS(_motor!$I$629-_motor!$B$671)&lt;=_motor!$B$679+0.000000001,ABS(_motor!$J$629-_motor!$B$671)&lt;=_motor!$B$679+0.000000001),"5 · Pelotón (no concluyente)",IF(AND(_motor!$I$629&gt;=_motor!$B$671,_motor!$J$629&lt;_motor!$B$671),"1 · Entrada / determinante",IF(AND(_motor!$I$629&gt;=_motor!$B$671,_motor!$J$629&gt;=_motor!$B$671),"2 · Intermedia / de enlace",IF(AND(_motor!$I$629&lt;_motor!$B$671,_motor!$J$629&gt;=_motor!$B$671),"3 · Resultado","4 · Excluida / autónoma")))))</f>
        <v/>
      </c>
      <c r="K49" s="7" t="str">
        <f>IF(_motor!$B$629=0,"",IF(LEFT(I49,1)=LEFT(J49,1),"No","SÍ"))</f>
        <v/>
      </c>
      <c r="L49" s="2" t="str">
        <f>IF(_motor!$B$629=0,"",IF(AND(G49&gt;2,H49&gt;2),"Variable oculta y además latente: su peso real está muy infravalorado en la lectura directa. Prioridad máxima de seguimiento.",IF(G49&gt;2,"Variable oculta: gobierna el sistema a través de cadenas indirectas.",IF(H49&gt;2,"Variable latente: hoy es secundaria, pero ganará peso si las relaciones potenciales se materializan.",IF(AND(G49&lt;-2,H49&lt;-2),"Su importancia aparente en la lectura directa no se sostiene ni por vía indirecta ni potencial.","Comportamiento estable en las distintas clasificaciones.")))))</f>
        <v/>
      </c>
    </row>
    <row r="50" spans="1:12" x14ac:dyDescent="0.2">
      <c r="A50" s="6" t="str">
        <f>IF(_motor!$B$630=0,"",'02 · Variables'!$B$51)</f>
        <v/>
      </c>
      <c r="B50" s="2" t="str">
        <f>IF(_motor!$B$630=0,"",'02 · Variables'!$C$51)</f>
        <v/>
      </c>
      <c r="C50" s="7" t="str">
        <f>IF(_motor!$B$630=0,"",SUMPRODUCT(_motor!$B$586:$B$665*(_motor!$C$586:$C$665&gt;_motor!$C$630))+(SUMPRODUCT(_motor!$B$586:$B$665*(_motor!$C$586:$C$665=_motor!$C$630))+1)/2)</f>
        <v/>
      </c>
      <c r="D50" s="7" t="str">
        <f>IF(_motor!$B$630=0,"",SUMPRODUCT(_motor!$B$586:$B$665*(_motor!$E$586:$E$665&gt;_motor!$E$630))+(SUMPRODUCT(_motor!$B$586:$B$665*(_motor!$E$586:$E$665=_motor!$E$630))+1)/2)</f>
        <v/>
      </c>
      <c r="E50" s="7" t="str">
        <f>IF(_motor!$B$630=0,"",SUMPRODUCT(_motor!$B$586:$B$665*(_motor!$G$586:$G$665&gt;_motor!$G$630))+(SUMPRODUCT(_motor!$B$586:$B$665*(_motor!$G$586:$G$665=_motor!$G$630))+1)/2)</f>
        <v/>
      </c>
      <c r="F50" s="7" t="str">
        <f>IF(_motor!$B$630=0,"",SUMPRODUCT(_motor!$B$586:$B$665*(_motor!$I$586:$I$665&gt;_motor!$I$630))+(SUMPRODUCT(_motor!$B$586:$B$665*(_motor!$I$586:$I$665=_motor!$I$630))+1)/2)</f>
        <v/>
      </c>
      <c r="G50" s="7" t="str">
        <f>IF(_motor!$B$630=0,"",C50-D50)</f>
        <v/>
      </c>
      <c r="H50" s="7" t="str">
        <f>IF(_motor!$B$630=0,"",C50-E50)</f>
        <v/>
      </c>
      <c r="I50" s="2" t="str">
        <f>IF(_motor!$B$630=0,"",IF(AND(ABS(_motor!$C$630-_motor!$B$668)&lt;=_motor!$B$676+0.000000001,ABS(_motor!$D$630-_motor!$B$668)&lt;=_motor!$B$676+0.000000001),"5 · Pelotón (no concluyente)",IF(AND(_motor!$C$630&gt;=_motor!$B$668,_motor!$D$630&lt;_motor!$B$668),"1 · Entrada / determinante",IF(AND(_motor!$C$630&gt;=_motor!$B$668,_motor!$D$630&gt;=_motor!$B$668),"2 · Intermedia / de enlace",IF(AND(_motor!$C$630&lt;_motor!$B$668,_motor!$D$630&gt;=_motor!$B$668),"3 · Resultado","4 · Excluida / autónoma")))))</f>
        <v/>
      </c>
      <c r="J50" s="2" t="str">
        <f>IF(_motor!$B$630=0,"",IF(AND(ABS(_motor!$I$630-_motor!$B$671)&lt;=_motor!$B$679+0.000000001,ABS(_motor!$J$630-_motor!$B$671)&lt;=_motor!$B$679+0.000000001),"5 · Pelotón (no concluyente)",IF(AND(_motor!$I$630&gt;=_motor!$B$671,_motor!$J$630&lt;_motor!$B$671),"1 · Entrada / determinante",IF(AND(_motor!$I$630&gt;=_motor!$B$671,_motor!$J$630&gt;=_motor!$B$671),"2 · Intermedia / de enlace",IF(AND(_motor!$I$630&lt;_motor!$B$671,_motor!$J$630&gt;=_motor!$B$671),"3 · Resultado","4 · Excluida / autónoma")))))</f>
        <v/>
      </c>
      <c r="K50" s="7" t="str">
        <f>IF(_motor!$B$630=0,"",IF(LEFT(I50,1)=LEFT(J50,1),"No","SÍ"))</f>
        <v/>
      </c>
      <c r="L50" s="2" t="str">
        <f>IF(_motor!$B$630=0,"",IF(AND(G50&gt;2,H50&gt;2),"Variable oculta y además latente: su peso real está muy infravalorado en la lectura directa. Prioridad máxima de seguimiento.",IF(G50&gt;2,"Variable oculta: gobierna el sistema a través de cadenas indirectas.",IF(H50&gt;2,"Variable latente: hoy es secundaria, pero ganará peso si las relaciones potenciales se materializan.",IF(AND(G50&lt;-2,H50&lt;-2),"Su importancia aparente en la lectura directa no se sostiene ni por vía indirecta ni potencial.","Comportamiento estable en las distintas clasificaciones.")))))</f>
        <v/>
      </c>
    </row>
    <row r="51" spans="1:12" x14ac:dyDescent="0.2">
      <c r="A51" s="6" t="str">
        <f>IF(_motor!$B$631=0,"",'02 · Variables'!$B$52)</f>
        <v/>
      </c>
      <c r="B51" s="2" t="str">
        <f>IF(_motor!$B$631=0,"",'02 · Variables'!$C$52)</f>
        <v/>
      </c>
      <c r="C51" s="7" t="str">
        <f>IF(_motor!$B$631=0,"",SUMPRODUCT(_motor!$B$586:$B$665*(_motor!$C$586:$C$665&gt;_motor!$C$631))+(SUMPRODUCT(_motor!$B$586:$B$665*(_motor!$C$586:$C$665=_motor!$C$631))+1)/2)</f>
        <v/>
      </c>
      <c r="D51" s="7" t="str">
        <f>IF(_motor!$B$631=0,"",SUMPRODUCT(_motor!$B$586:$B$665*(_motor!$E$586:$E$665&gt;_motor!$E$631))+(SUMPRODUCT(_motor!$B$586:$B$665*(_motor!$E$586:$E$665=_motor!$E$631))+1)/2)</f>
        <v/>
      </c>
      <c r="E51" s="7" t="str">
        <f>IF(_motor!$B$631=0,"",SUMPRODUCT(_motor!$B$586:$B$665*(_motor!$G$586:$G$665&gt;_motor!$G$631))+(SUMPRODUCT(_motor!$B$586:$B$665*(_motor!$G$586:$G$665=_motor!$G$631))+1)/2)</f>
        <v/>
      </c>
      <c r="F51" s="7" t="str">
        <f>IF(_motor!$B$631=0,"",SUMPRODUCT(_motor!$B$586:$B$665*(_motor!$I$586:$I$665&gt;_motor!$I$631))+(SUMPRODUCT(_motor!$B$586:$B$665*(_motor!$I$586:$I$665=_motor!$I$631))+1)/2)</f>
        <v/>
      </c>
      <c r="G51" s="7" t="str">
        <f>IF(_motor!$B$631=0,"",C51-D51)</f>
        <v/>
      </c>
      <c r="H51" s="7" t="str">
        <f>IF(_motor!$B$631=0,"",C51-E51)</f>
        <v/>
      </c>
      <c r="I51" s="2" t="str">
        <f>IF(_motor!$B$631=0,"",IF(AND(ABS(_motor!$C$631-_motor!$B$668)&lt;=_motor!$B$676+0.000000001,ABS(_motor!$D$631-_motor!$B$668)&lt;=_motor!$B$676+0.000000001),"5 · Pelotón (no concluyente)",IF(AND(_motor!$C$631&gt;=_motor!$B$668,_motor!$D$631&lt;_motor!$B$668),"1 · Entrada / determinante",IF(AND(_motor!$C$631&gt;=_motor!$B$668,_motor!$D$631&gt;=_motor!$B$668),"2 · Intermedia / de enlace",IF(AND(_motor!$C$631&lt;_motor!$B$668,_motor!$D$631&gt;=_motor!$B$668),"3 · Resultado","4 · Excluida / autónoma")))))</f>
        <v/>
      </c>
      <c r="J51" s="2" t="str">
        <f>IF(_motor!$B$631=0,"",IF(AND(ABS(_motor!$I$631-_motor!$B$671)&lt;=_motor!$B$679+0.000000001,ABS(_motor!$J$631-_motor!$B$671)&lt;=_motor!$B$679+0.000000001),"5 · Pelotón (no concluyente)",IF(AND(_motor!$I$631&gt;=_motor!$B$671,_motor!$J$631&lt;_motor!$B$671),"1 · Entrada / determinante",IF(AND(_motor!$I$631&gt;=_motor!$B$671,_motor!$J$631&gt;=_motor!$B$671),"2 · Intermedia / de enlace",IF(AND(_motor!$I$631&lt;_motor!$B$671,_motor!$J$631&gt;=_motor!$B$671),"3 · Resultado","4 · Excluida / autónoma")))))</f>
        <v/>
      </c>
      <c r="K51" s="7" t="str">
        <f>IF(_motor!$B$631=0,"",IF(LEFT(I51,1)=LEFT(J51,1),"No","SÍ"))</f>
        <v/>
      </c>
      <c r="L51" s="2" t="str">
        <f>IF(_motor!$B$631=0,"",IF(AND(G51&gt;2,H51&gt;2),"Variable oculta y además latente: su peso real está muy infravalorado en la lectura directa. Prioridad máxima de seguimiento.",IF(G51&gt;2,"Variable oculta: gobierna el sistema a través de cadenas indirectas.",IF(H51&gt;2,"Variable latente: hoy es secundaria, pero ganará peso si las relaciones potenciales se materializan.",IF(AND(G51&lt;-2,H51&lt;-2),"Su importancia aparente en la lectura directa no se sostiene ni por vía indirecta ni potencial.","Comportamiento estable en las distintas clasificaciones.")))))</f>
        <v/>
      </c>
    </row>
    <row r="52" spans="1:12" x14ac:dyDescent="0.2">
      <c r="A52" s="6" t="str">
        <f>IF(_motor!$B$632=0,"",'02 · Variables'!$B$53)</f>
        <v/>
      </c>
      <c r="B52" s="2" t="str">
        <f>IF(_motor!$B$632=0,"",'02 · Variables'!$C$53)</f>
        <v/>
      </c>
      <c r="C52" s="7" t="str">
        <f>IF(_motor!$B$632=0,"",SUMPRODUCT(_motor!$B$586:$B$665*(_motor!$C$586:$C$665&gt;_motor!$C$632))+(SUMPRODUCT(_motor!$B$586:$B$665*(_motor!$C$586:$C$665=_motor!$C$632))+1)/2)</f>
        <v/>
      </c>
      <c r="D52" s="7" t="str">
        <f>IF(_motor!$B$632=0,"",SUMPRODUCT(_motor!$B$586:$B$665*(_motor!$E$586:$E$665&gt;_motor!$E$632))+(SUMPRODUCT(_motor!$B$586:$B$665*(_motor!$E$586:$E$665=_motor!$E$632))+1)/2)</f>
        <v/>
      </c>
      <c r="E52" s="7" t="str">
        <f>IF(_motor!$B$632=0,"",SUMPRODUCT(_motor!$B$586:$B$665*(_motor!$G$586:$G$665&gt;_motor!$G$632))+(SUMPRODUCT(_motor!$B$586:$B$665*(_motor!$G$586:$G$665=_motor!$G$632))+1)/2)</f>
        <v/>
      </c>
      <c r="F52" s="7" t="str">
        <f>IF(_motor!$B$632=0,"",SUMPRODUCT(_motor!$B$586:$B$665*(_motor!$I$586:$I$665&gt;_motor!$I$632))+(SUMPRODUCT(_motor!$B$586:$B$665*(_motor!$I$586:$I$665=_motor!$I$632))+1)/2)</f>
        <v/>
      </c>
      <c r="G52" s="7" t="str">
        <f>IF(_motor!$B$632=0,"",C52-D52)</f>
        <v/>
      </c>
      <c r="H52" s="7" t="str">
        <f>IF(_motor!$B$632=0,"",C52-E52)</f>
        <v/>
      </c>
      <c r="I52" s="2" t="str">
        <f>IF(_motor!$B$632=0,"",IF(AND(ABS(_motor!$C$632-_motor!$B$668)&lt;=_motor!$B$676+0.000000001,ABS(_motor!$D$632-_motor!$B$668)&lt;=_motor!$B$676+0.000000001),"5 · Pelotón (no concluyente)",IF(AND(_motor!$C$632&gt;=_motor!$B$668,_motor!$D$632&lt;_motor!$B$668),"1 · Entrada / determinante",IF(AND(_motor!$C$632&gt;=_motor!$B$668,_motor!$D$632&gt;=_motor!$B$668),"2 · Intermedia / de enlace",IF(AND(_motor!$C$632&lt;_motor!$B$668,_motor!$D$632&gt;=_motor!$B$668),"3 · Resultado","4 · Excluida / autónoma")))))</f>
        <v/>
      </c>
      <c r="J52" s="2" t="str">
        <f>IF(_motor!$B$632=0,"",IF(AND(ABS(_motor!$I$632-_motor!$B$671)&lt;=_motor!$B$679+0.000000001,ABS(_motor!$J$632-_motor!$B$671)&lt;=_motor!$B$679+0.000000001),"5 · Pelotón (no concluyente)",IF(AND(_motor!$I$632&gt;=_motor!$B$671,_motor!$J$632&lt;_motor!$B$671),"1 · Entrada / determinante",IF(AND(_motor!$I$632&gt;=_motor!$B$671,_motor!$J$632&gt;=_motor!$B$671),"2 · Intermedia / de enlace",IF(AND(_motor!$I$632&lt;_motor!$B$671,_motor!$J$632&gt;=_motor!$B$671),"3 · Resultado","4 · Excluida / autónoma")))))</f>
        <v/>
      </c>
      <c r="K52" s="7" t="str">
        <f>IF(_motor!$B$632=0,"",IF(LEFT(I52,1)=LEFT(J52,1),"No","SÍ"))</f>
        <v/>
      </c>
      <c r="L52" s="2" t="str">
        <f>IF(_motor!$B$632=0,"",IF(AND(G52&gt;2,H52&gt;2),"Variable oculta y además latente: su peso real está muy infravalorado en la lectura directa. Prioridad máxima de seguimiento.",IF(G52&gt;2,"Variable oculta: gobierna el sistema a través de cadenas indirectas.",IF(H52&gt;2,"Variable latente: hoy es secundaria, pero ganará peso si las relaciones potenciales se materializan.",IF(AND(G52&lt;-2,H52&lt;-2),"Su importancia aparente en la lectura directa no se sostiene ni por vía indirecta ni potencial.","Comportamiento estable en las distintas clasificaciones.")))))</f>
        <v/>
      </c>
    </row>
    <row r="53" spans="1:12" x14ac:dyDescent="0.2">
      <c r="A53" s="6" t="str">
        <f>IF(_motor!$B$633=0,"",'02 · Variables'!$B$54)</f>
        <v/>
      </c>
      <c r="B53" s="2" t="str">
        <f>IF(_motor!$B$633=0,"",'02 · Variables'!$C$54)</f>
        <v/>
      </c>
      <c r="C53" s="7" t="str">
        <f>IF(_motor!$B$633=0,"",SUMPRODUCT(_motor!$B$586:$B$665*(_motor!$C$586:$C$665&gt;_motor!$C$633))+(SUMPRODUCT(_motor!$B$586:$B$665*(_motor!$C$586:$C$665=_motor!$C$633))+1)/2)</f>
        <v/>
      </c>
      <c r="D53" s="7" t="str">
        <f>IF(_motor!$B$633=0,"",SUMPRODUCT(_motor!$B$586:$B$665*(_motor!$E$586:$E$665&gt;_motor!$E$633))+(SUMPRODUCT(_motor!$B$586:$B$665*(_motor!$E$586:$E$665=_motor!$E$633))+1)/2)</f>
        <v/>
      </c>
      <c r="E53" s="7" t="str">
        <f>IF(_motor!$B$633=0,"",SUMPRODUCT(_motor!$B$586:$B$665*(_motor!$G$586:$G$665&gt;_motor!$G$633))+(SUMPRODUCT(_motor!$B$586:$B$665*(_motor!$G$586:$G$665=_motor!$G$633))+1)/2)</f>
        <v/>
      </c>
      <c r="F53" s="7" t="str">
        <f>IF(_motor!$B$633=0,"",SUMPRODUCT(_motor!$B$586:$B$665*(_motor!$I$586:$I$665&gt;_motor!$I$633))+(SUMPRODUCT(_motor!$B$586:$B$665*(_motor!$I$586:$I$665=_motor!$I$633))+1)/2)</f>
        <v/>
      </c>
      <c r="G53" s="7" t="str">
        <f>IF(_motor!$B$633=0,"",C53-D53)</f>
        <v/>
      </c>
      <c r="H53" s="7" t="str">
        <f>IF(_motor!$B$633=0,"",C53-E53)</f>
        <v/>
      </c>
      <c r="I53" s="2" t="str">
        <f>IF(_motor!$B$633=0,"",IF(AND(ABS(_motor!$C$633-_motor!$B$668)&lt;=_motor!$B$676+0.000000001,ABS(_motor!$D$633-_motor!$B$668)&lt;=_motor!$B$676+0.000000001),"5 · Pelotón (no concluyente)",IF(AND(_motor!$C$633&gt;=_motor!$B$668,_motor!$D$633&lt;_motor!$B$668),"1 · Entrada / determinante",IF(AND(_motor!$C$633&gt;=_motor!$B$668,_motor!$D$633&gt;=_motor!$B$668),"2 · Intermedia / de enlace",IF(AND(_motor!$C$633&lt;_motor!$B$668,_motor!$D$633&gt;=_motor!$B$668),"3 · Resultado","4 · Excluida / autónoma")))))</f>
        <v/>
      </c>
      <c r="J53" s="2" t="str">
        <f>IF(_motor!$B$633=0,"",IF(AND(ABS(_motor!$I$633-_motor!$B$671)&lt;=_motor!$B$679+0.000000001,ABS(_motor!$J$633-_motor!$B$671)&lt;=_motor!$B$679+0.000000001),"5 · Pelotón (no concluyente)",IF(AND(_motor!$I$633&gt;=_motor!$B$671,_motor!$J$633&lt;_motor!$B$671),"1 · Entrada / determinante",IF(AND(_motor!$I$633&gt;=_motor!$B$671,_motor!$J$633&gt;=_motor!$B$671),"2 · Intermedia / de enlace",IF(AND(_motor!$I$633&lt;_motor!$B$671,_motor!$J$633&gt;=_motor!$B$671),"3 · Resultado","4 · Excluida / autónoma")))))</f>
        <v/>
      </c>
      <c r="K53" s="7" t="str">
        <f>IF(_motor!$B$633=0,"",IF(LEFT(I53,1)=LEFT(J53,1),"No","SÍ"))</f>
        <v/>
      </c>
      <c r="L53" s="2" t="str">
        <f>IF(_motor!$B$633=0,"",IF(AND(G53&gt;2,H53&gt;2),"Variable oculta y además latente: su peso real está muy infravalorado en la lectura directa. Prioridad máxima de seguimiento.",IF(G53&gt;2,"Variable oculta: gobierna el sistema a través de cadenas indirectas.",IF(H53&gt;2,"Variable latente: hoy es secundaria, pero ganará peso si las relaciones potenciales se materializan.",IF(AND(G53&lt;-2,H53&lt;-2),"Su importancia aparente en la lectura directa no se sostiene ni por vía indirecta ni potencial.","Comportamiento estable en las distintas clasificaciones.")))))</f>
        <v/>
      </c>
    </row>
    <row r="54" spans="1:12" x14ac:dyDescent="0.2">
      <c r="A54" s="6" t="str">
        <f>IF(_motor!$B$634=0,"",'02 · Variables'!$B$55)</f>
        <v/>
      </c>
      <c r="B54" s="2" t="str">
        <f>IF(_motor!$B$634=0,"",'02 · Variables'!$C$55)</f>
        <v/>
      </c>
      <c r="C54" s="7" t="str">
        <f>IF(_motor!$B$634=0,"",SUMPRODUCT(_motor!$B$586:$B$665*(_motor!$C$586:$C$665&gt;_motor!$C$634))+(SUMPRODUCT(_motor!$B$586:$B$665*(_motor!$C$586:$C$665=_motor!$C$634))+1)/2)</f>
        <v/>
      </c>
      <c r="D54" s="7" t="str">
        <f>IF(_motor!$B$634=0,"",SUMPRODUCT(_motor!$B$586:$B$665*(_motor!$E$586:$E$665&gt;_motor!$E$634))+(SUMPRODUCT(_motor!$B$586:$B$665*(_motor!$E$586:$E$665=_motor!$E$634))+1)/2)</f>
        <v/>
      </c>
      <c r="E54" s="7" t="str">
        <f>IF(_motor!$B$634=0,"",SUMPRODUCT(_motor!$B$586:$B$665*(_motor!$G$586:$G$665&gt;_motor!$G$634))+(SUMPRODUCT(_motor!$B$586:$B$665*(_motor!$G$586:$G$665=_motor!$G$634))+1)/2)</f>
        <v/>
      </c>
      <c r="F54" s="7" t="str">
        <f>IF(_motor!$B$634=0,"",SUMPRODUCT(_motor!$B$586:$B$665*(_motor!$I$586:$I$665&gt;_motor!$I$634))+(SUMPRODUCT(_motor!$B$586:$B$665*(_motor!$I$586:$I$665=_motor!$I$634))+1)/2)</f>
        <v/>
      </c>
      <c r="G54" s="7" t="str">
        <f>IF(_motor!$B$634=0,"",C54-D54)</f>
        <v/>
      </c>
      <c r="H54" s="7" t="str">
        <f>IF(_motor!$B$634=0,"",C54-E54)</f>
        <v/>
      </c>
      <c r="I54" s="2" t="str">
        <f>IF(_motor!$B$634=0,"",IF(AND(ABS(_motor!$C$634-_motor!$B$668)&lt;=_motor!$B$676+0.000000001,ABS(_motor!$D$634-_motor!$B$668)&lt;=_motor!$B$676+0.000000001),"5 · Pelotón (no concluyente)",IF(AND(_motor!$C$634&gt;=_motor!$B$668,_motor!$D$634&lt;_motor!$B$668),"1 · Entrada / determinante",IF(AND(_motor!$C$634&gt;=_motor!$B$668,_motor!$D$634&gt;=_motor!$B$668),"2 · Intermedia / de enlace",IF(AND(_motor!$C$634&lt;_motor!$B$668,_motor!$D$634&gt;=_motor!$B$668),"3 · Resultado","4 · Excluida / autónoma")))))</f>
        <v/>
      </c>
      <c r="J54" s="2" t="str">
        <f>IF(_motor!$B$634=0,"",IF(AND(ABS(_motor!$I$634-_motor!$B$671)&lt;=_motor!$B$679+0.000000001,ABS(_motor!$J$634-_motor!$B$671)&lt;=_motor!$B$679+0.000000001),"5 · Pelotón (no concluyente)",IF(AND(_motor!$I$634&gt;=_motor!$B$671,_motor!$J$634&lt;_motor!$B$671),"1 · Entrada / determinante",IF(AND(_motor!$I$634&gt;=_motor!$B$671,_motor!$J$634&gt;=_motor!$B$671),"2 · Intermedia / de enlace",IF(AND(_motor!$I$634&lt;_motor!$B$671,_motor!$J$634&gt;=_motor!$B$671),"3 · Resultado","4 · Excluida / autónoma")))))</f>
        <v/>
      </c>
      <c r="K54" s="7" t="str">
        <f>IF(_motor!$B$634=0,"",IF(LEFT(I54,1)=LEFT(J54,1),"No","SÍ"))</f>
        <v/>
      </c>
      <c r="L54" s="2" t="str">
        <f>IF(_motor!$B$634=0,"",IF(AND(G54&gt;2,H54&gt;2),"Variable oculta y además latente: su peso real está muy infravalorado en la lectura directa. Prioridad máxima de seguimiento.",IF(G54&gt;2,"Variable oculta: gobierna el sistema a través de cadenas indirectas.",IF(H54&gt;2,"Variable latente: hoy es secundaria, pero ganará peso si las relaciones potenciales se materializan.",IF(AND(G54&lt;-2,H54&lt;-2),"Su importancia aparente en la lectura directa no se sostiene ni por vía indirecta ni potencial.","Comportamiento estable en las distintas clasificaciones.")))))</f>
        <v/>
      </c>
    </row>
    <row r="55" spans="1:12" x14ac:dyDescent="0.2">
      <c r="A55" s="6" t="str">
        <f>IF(_motor!$B$635=0,"",'02 · Variables'!$B$56)</f>
        <v/>
      </c>
      <c r="B55" s="2" t="str">
        <f>IF(_motor!$B$635=0,"",'02 · Variables'!$C$56)</f>
        <v/>
      </c>
      <c r="C55" s="7" t="str">
        <f>IF(_motor!$B$635=0,"",SUMPRODUCT(_motor!$B$586:$B$665*(_motor!$C$586:$C$665&gt;_motor!$C$635))+(SUMPRODUCT(_motor!$B$586:$B$665*(_motor!$C$586:$C$665=_motor!$C$635))+1)/2)</f>
        <v/>
      </c>
      <c r="D55" s="7" t="str">
        <f>IF(_motor!$B$635=0,"",SUMPRODUCT(_motor!$B$586:$B$665*(_motor!$E$586:$E$665&gt;_motor!$E$635))+(SUMPRODUCT(_motor!$B$586:$B$665*(_motor!$E$586:$E$665=_motor!$E$635))+1)/2)</f>
        <v/>
      </c>
      <c r="E55" s="7" t="str">
        <f>IF(_motor!$B$635=0,"",SUMPRODUCT(_motor!$B$586:$B$665*(_motor!$G$586:$G$665&gt;_motor!$G$635))+(SUMPRODUCT(_motor!$B$586:$B$665*(_motor!$G$586:$G$665=_motor!$G$635))+1)/2)</f>
        <v/>
      </c>
      <c r="F55" s="7" t="str">
        <f>IF(_motor!$B$635=0,"",SUMPRODUCT(_motor!$B$586:$B$665*(_motor!$I$586:$I$665&gt;_motor!$I$635))+(SUMPRODUCT(_motor!$B$586:$B$665*(_motor!$I$586:$I$665=_motor!$I$635))+1)/2)</f>
        <v/>
      </c>
      <c r="G55" s="7" t="str">
        <f>IF(_motor!$B$635=0,"",C55-D55)</f>
        <v/>
      </c>
      <c r="H55" s="7" t="str">
        <f>IF(_motor!$B$635=0,"",C55-E55)</f>
        <v/>
      </c>
      <c r="I55" s="2" t="str">
        <f>IF(_motor!$B$635=0,"",IF(AND(ABS(_motor!$C$635-_motor!$B$668)&lt;=_motor!$B$676+0.000000001,ABS(_motor!$D$635-_motor!$B$668)&lt;=_motor!$B$676+0.000000001),"5 · Pelotón (no concluyente)",IF(AND(_motor!$C$635&gt;=_motor!$B$668,_motor!$D$635&lt;_motor!$B$668),"1 · Entrada / determinante",IF(AND(_motor!$C$635&gt;=_motor!$B$668,_motor!$D$635&gt;=_motor!$B$668),"2 · Intermedia / de enlace",IF(AND(_motor!$C$635&lt;_motor!$B$668,_motor!$D$635&gt;=_motor!$B$668),"3 · Resultado","4 · Excluida / autónoma")))))</f>
        <v/>
      </c>
      <c r="J55" s="2" t="str">
        <f>IF(_motor!$B$635=0,"",IF(AND(ABS(_motor!$I$635-_motor!$B$671)&lt;=_motor!$B$679+0.000000001,ABS(_motor!$J$635-_motor!$B$671)&lt;=_motor!$B$679+0.000000001),"5 · Pelotón (no concluyente)",IF(AND(_motor!$I$635&gt;=_motor!$B$671,_motor!$J$635&lt;_motor!$B$671),"1 · Entrada / determinante",IF(AND(_motor!$I$635&gt;=_motor!$B$671,_motor!$J$635&gt;=_motor!$B$671),"2 · Intermedia / de enlace",IF(AND(_motor!$I$635&lt;_motor!$B$671,_motor!$J$635&gt;=_motor!$B$671),"3 · Resultado","4 · Excluida / autónoma")))))</f>
        <v/>
      </c>
      <c r="K55" s="7" t="str">
        <f>IF(_motor!$B$635=0,"",IF(LEFT(I55,1)=LEFT(J55,1),"No","SÍ"))</f>
        <v/>
      </c>
      <c r="L55" s="2" t="str">
        <f>IF(_motor!$B$635=0,"",IF(AND(G55&gt;2,H55&gt;2),"Variable oculta y además latente: su peso real está muy infravalorado en la lectura directa. Prioridad máxima de seguimiento.",IF(G55&gt;2,"Variable oculta: gobierna el sistema a través de cadenas indirectas.",IF(H55&gt;2,"Variable latente: hoy es secundaria, pero ganará peso si las relaciones potenciales se materializan.",IF(AND(G55&lt;-2,H55&lt;-2),"Su importancia aparente en la lectura directa no se sostiene ni por vía indirecta ni potencial.","Comportamiento estable en las distintas clasificaciones.")))))</f>
        <v/>
      </c>
    </row>
    <row r="56" spans="1:12" x14ac:dyDescent="0.2">
      <c r="A56" s="6" t="str">
        <f>IF(_motor!$B$636=0,"",'02 · Variables'!$B$57)</f>
        <v/>
      </c>
      <c r="B56" s="2" t="str">
        <f>IF(_motor!$B$636=0,"",'02 · Variables'!$C$57)</f>
        <v/>
      </c>
      <c r="C56" s="7" t="str">
        <f>IF(_motor!$B$636=0,"",SUMPRODUCT(_motor!$B$586:$B$665*(_motor!$C$586:$C$665&gt;_motor!$C$636))+(SUMPRODUCT(_motor!$B$586:$B$665*(_motor!$C$586:$C$665=_motor!$C$636))+1)/2)</f>
        <v/>
      </c>
      <c r="D56" s="7" t="str">
        <f>IF(_motor!$B$636=0,"",SUMPRODUCT(_motor!$B$586:$B$665*(_motor!$E$586:$E$665&gt;_motor!$E$636))+(SUMPRODUCT(_motor!$B$586:$B$665*(_motor!$E$586:$E$665=_motor!$E$636))+1)/2)</f>
        <v/>
      </c>
      <c r="E56" s="7" t="str">
        <f>IF(_motor!$B$636=0,"",SUMPRODUCT(_motor!$B$586:$B$665*(_motor!$G$586:$G$665&gt;_motor!$G$636))+(SUMPRODUCT(_motor!$B$586:$B$665*(_motor!$G$586:$G$665=_motor!$G$636))+1)/2)</f>
        <v/>
      </c>
      <c r="F56" s="7" t="str">
        <f>IF(_motor!$B$636=0,"",SUMPRODUCT(_motor!$B$586:$B$665*(_motor!$I$586:$I$665&gt;_motor!$I$636))+(SUMPRODUCT(_motor!$B$586:$B$665*(_motor!$I$586:$I$665=_motor!$I$636))+1)/2)</f>
        <v/>
      </c>
      <c r="G56" s="7" t="str">
        <f>IF(_motor!$B$636=0,"",C56-D56)</f>
        <v/>
      </c>
      <c r="H56" s="7" t="str">
        <f>IF(_motor!$B$636=0,"",C56-E56)</f>
        <v/>
      </c>
      <c r="I56" s="2" t="str">
        <f>IF(_motor!$B$636=0,"",IF(AND(ABS(_motor!$C$636-_motor!$B$668)&lt;=_motor!$B$676+0.000000001,ABS(_motor!$D$636-_motor!$B$668)&lt;=_motor!$B$676+0.000000001),"5 · Pelotón (no concluyente)",IF(AND(_motor!$C$636&gt;=_motor!$B$668,_motor!$D$636&lt;_motor!$B$668),"1 · Entrada / determinante",IF(AND(_motor!$C$636&gt;=_motor!$B$668,_motor!$D$636&gt;=_motor!$B$668),"2 · Intermedia / de enlace",IF(AND(_motor!$C$636&lt;_motor!$B$668,_motor!$D$636&gt;=_motor!$B$668),"3 · Resultado","4 · Excluida / autónoma")))))</f>
        <v/>
      </c>
      <c r="J56" s="2" t="str">
        <f>IF(_motor!$B$636=0,"",IF(AND(ABS(_motor!$I$636-_motor!$B$671)&lt;=_motor!$B$679+0.000000001,ABS(_motor!$J$636-_motor!$B$671)&lt;=_motor!$B$679+0.000000001),"5 · Pelotón (no concluyente)",IF(AND(_motor!$I$636&gt;=_motor!$B$671,_motor!$J$636&lt;_motor!$B$671),"1 · Entrada / determinante",IF(AND(_motor!$I$636&gt;=_motor!$B$671,_motor!$J$636&gt;=_motor!$B$671),"2 · Intermedia / de enlace",IF(AND(_motor!$I$636&lt;_motor!$B$671,_motor!$J$636&gt;=_motor!$B$671),"3 · Resultado","4 · Excluida / autónoma")))))</f>
        <v/>
      </c>
      <c r="K56" s="7" t="str">
        <f>IF(_motor!$B$636=0,"",IF(LEFT(I56,1)=LEFT(J56,1),"No","SÍ"))</f>
        <v/>
      </c>
      <c r="L56" s="2" t="str">
        <f>IF(_motor!$B$636=0,"",IF(AND(G56&gt;2,H56&gt;2),"Variable oculta y además latente: su peso real está muy infravalorado en la lectura directa. Prioridad máxima de seguimiento.",IF(G56&gt;2,"Variable oculta: gobierna el sistema a través de cadenas indirectas.",IF(H56&gt;2,"Variable latente: hoy es secundaria, pero ganará peso si las relaciones potenciales se materializan.",IF(AND(G56&lt;-2,H56&lt;-2),"Su importancia aparente en la lectura directa no se sostiene ni por vía indirecta ni potencial.","Comportamiento estable en las distintas clasificaciones.")))))</f>
        <v/>
      </c>
    </row>
    <row r="57" spans="1:12" x14ac:dyDescent="0.2">
      <c r="A57" s="6" t="str">
        <f>IF(_motor!$B$637=0,"",'02 · Variables'!$B$58)</f>
        <v/>
      </c>
      <c r="B57" s="2" t="str">
        <f>IF(_motor!$B$637=0,"",'02 · Variables'!$C$58)</f>
        <v/>
      </c>
      <c r="C57" s="7" t="str">
        <f>IF(_motor!$B$637=0,"",SUMPRODUCT(_motor!$B$586:$B$665*(_motor!$C$586:$C$665&gt;_motor!$C$637))+(SUMPRODUCT(_motor!$B$586:$B$665*(_motor!$C$586:$C$665=_motor!$C$637))+1)/2)</f>
        <v/>
      </c>
      <c r="D57" s="7" t="str">
        <f>IF(_motor!$B$637=0,"",SUMPRODUCT(_motor!$B$586:$B$665*(_motor!$E$586:$E$665&gt;_motor!$E$637))+(SUMPRODUCT(_motor!$B$586:$B$665*(_motor!$E$586:$E$665=_motor!$E$637))+1)/2)</f>
        <v/>
      </c>
      <c r="E57" s="7" t="str">
        <f>IF(_motor!$B$637=0,"",SUMPRODUCT(_motor!$B$586:$B$665*(_motor!$G$586:$G$665&gt;_motor!$G$637))+(SUMPRODUCT(_motor!$B$586:$B$665*(_motor!$G$586:$G$665=_motor!$G$637))+1)/2)</f>
        <v/>
      </c>
      <c r="F57" s="7" t="str">
        <f>IF(_motor!$B$637=0,"",SUMPRODUCT(_motor!$B$586:$B$665*(_motor!$I$586:$I$665&gt;_motor!$I$637))+(SUMPRODUCT(_motor!$B$586:$B$665*(_motor!$I$586:$I$665=_motor!$I$637))+1)/2)</f>
        <v/>
      </c>
      <c r="G57" s="7" t="str">
        <f>IF(_motor!$B$637=0,"",C57-D57)</f>
        <v/>
      </c>
      <c r="H57" s="7" t="str">
        <f>IF(_motor!$B$637=0,"",C57-E57)</f>
        <v/>
      </c>
      <c r="I57" s="2" t="str">
        <f>IF(_motor!$B$637=0,"",IF(AND(ABS(_motor!$C$637-_motor!$B$668)&lt;=_motor!$B$676+0.000000001,ABS(_motor!$D$637-_motor!$B$668)&lt;=_motor!$B$676+0.000000001),"5 · Pelotón (no concluyente)",IF(AND(_motor!$C$637&gt;=_motor!$B$668,_motor!$D$637&lt;_motor!$B$668),"1 · Entrada / determinante",IF(AND(_motor!$C$637&gt;=_motor!$B$668,_motor!$D$637&gt;=_motor!$B$668),"2 · Intermedia / de enlace",IF(AND(_motor!$C$637&lt;_motor!$B$668,_motor!$D$637&gt;=_motor!$B$668),"3 · Resultado","4 · Excluida / autónoma")))))</f>
        <v/>
      </c>
      <c r="J57" s="2" t="str">
        <f>IF(_motor!$B$637=0,"",IF(AND(ABS(_motor!$I$637-_motor!$B$671)&lt;=_motor!$B$679+0.000000001,ABS(_motor!$J$637-_motor!$B$671)&lt;=_motor!$B$679+0.000000001),"5 · Pelotón (no concluyente)",IF(AND(_motor!$I$637&gt;=_motor!$B$671,_motor!$J$637&lt;_motor!$B$671),"1 · Entrada / determinante",IF(AND(_motor!$I$637&gt;=_motor!$B$671,_motor!$J$637&gt;=_motor!$B$671),"2 · Intermedia / de enlace",IF(AND(_motor!$I$637&lt;_motor!$B$671,_motor!$J$637&gt;=_motor!$B$671),"3 · Resultado","4 · Excluida / autónoma")))))</f>
        <v/>
      </c>
      <c r="K57" s="7" t="str">
        <f>IF(_motor!$B$637=0,"",IF(LEFT(I57,1)=LEFT(J57,1),"No","SÍ"))</f>
        <v/>
      </c>
      <c r="L57" s="2" t="str">
        <f>IF(_motor!$B$637=0,"",IF(AND(G57&gt;2,H57&gt;2),"Variable oculta y además latente: su peso real está muy infravalorado en la lectura directa. Prioridad máxima de seguimiento.",IF(G57&gt;2,"Variable oculta: gobierna el sistema a través de cadenas indirectas.",IF(H57&gt;2,"Variable latente: hoy es secundaria, pero ganará peso si las relaciones potenciales se materializan.",IF(AND(G57&lt;-2,H57&lt;-2),"Su importancia aparente en la lectura directa no se sostiene ni por vía indirecta ni potencial.","Comportamiento estable en las distintas clasificaciones.")))))</f>
        <v/>
      </c>
    </row>
    <row r="58" spans="1:12" x14ac:dyDescent="0.2">
      <c r="A58" s="6" t="str">
        <f>IF(_motor!$B$638=0,"",'02 · Variables'!$B$59)</f>
        <v/>
      </c>
      <c r="B58" s="2" t="str">
        <f>IF(_motor!$B$638=0,"",'02 · Variables'!$C$59)</f>
        <v/>
      </c>
      <c r="C58" s="7" t="str">
        <f>IF(_motor!$B$638=0,"",SUMPRODUCT(_motor!$B$586:$B$665*(_motor!$C$586:$C$665&gt;_motor!$C$638))+(SUMPRODUCT(_motor!$B$586:$B$665*(_motor!$C$586:$C$665=_motor!$C$638))+1)/2)</f>
        <v/>
      </c>
      <c r="D58" s="7" t="str">
        <f>IF(_motor!$B$638=0,"",SUMPRODUCT(_motor!$B$586:$B$665*(_motor!$E$586:$E$665&gt;_motor!$E$638))+(SUMPRODUCT(_motor!$B$586:$B$665*(_motor!$E$586:$E$665=_motor!$E$638))+1)/2)</f>
        <v/>
      </c>
      <c r="E58" s="7" t="str">
        <f>IF(_motor!$B$638=0,"",SUMPRODUCT(_motor!$B$586:$B$665*(_motor!$G$586:$G$665&gt;_motor!$G$638))+(SUMPRODUCT(_motor!$B$586:$B$665*(_motor!$G$586:$G$665=_motor!$G$638))+1)/2)</f>
        <v/>
      </c>
      <c r="F58" s="7" t="str">
        <f>IF(_motor!$B$638=0,"",SUMPRODUCT(_motor!$B$586:$B$665*(_motor!$I$586:$I$665&gt;_motor!$I$638))+(SUMPRODUCT(_motor!$B$586:$B$665*(_motor!$I$586:$I$665=_motor!$I$638))+1)/2)</f>
        <v/>
      </c>
      <c r="G58" s="7" t="str">
        <f>IF(_motor!$B$638=0,"",C58-D58)</f>
        <v/>
      </c>
      <c r="H58" s="7" t="str">
        <f>IF(_motor!$B$638=0,"",C58-E58)</f>
        <v/>
      </c>
      <c r="I58" s="2" t="str">
        <f>IF(_motor!$B$638=0,"",IF(AND(ABS(_motor!$C$638-_motor!$B$668)&lt;=_motor!$B$676+0.000000001,ABS(_motor!$D$638-_motor!$B$668)&lt;=_motor!$B$676+0.000000001),"5 · Pelotón (no concluyente)",IF(AND(_motor!$C$638&gt;=_motor!$B$668,_motor!$D$638&lt;_motor!$B$668),"1 · Entrada / determinante",IF(AND(_motor!$C$638&gt;=_motor!$B$668,_motor!$D$638&gt;=_motor!$B$668),"2 · Intermedia / de enlace",IF(AND(_motor!$C$638&lt;_motor!$B$668,_motor!$D$638&gt;=_motor!$B$668),"3 · Resultado","4 · Excluida / autónoma")))))</f>
        <v/>
      </c>
      <c r="J58" s="2" t="str">
        <f>IF(_motor!$B$638=0,"",IF(AND(ABS(_motor!$I$638-_motor!$B$671)&lt;=_motor!$B$679+0.000000001,ABS(_motor!$J$638-_motor!$B$671)&lt;=_motor!$B$679+0.000000001),"5 · Pelotón (no concluyente)",IF(AND(_motor!$I$638&gt;=_motor!$B$671,_motor!$J$638&lt;_motor!$B$671),"1 · Entrada / determinante",IF(AND(_motor!$I$638&gt;=_motor!$B$671,_motor!$J$638&gt;=_motor!$B$671),"2 · Intermedia / de enlace",IF(AND(_motor!$I$638&lt;_motor!$B$671,_motor!$J$638&gt;=_motor!$B$671),"3 · Resultado","4 · Excluida / autónoma")))))</f>
        <v/>
      </c>
      <c r="K58" s="7" t="str">
        <f>IF(_motor!$B$638=0,"",IF(LEFT(I58,1)=LEFT(J58,1),"No","SÍ"))</f>
        <v/>
      </c>
      <c r="L58" s="2" t="str">
        <f>IF(_motor!$B$638=0,"",IF(AND(G58&gt;2,H58&gt;2),"Variable oculta y además latente: su peso real está muy infravalorado en la lectura directa. Prioridad máxima de seguimiento.",IF(G58&gt;2,"Variable oculta: gobierna el sistema a través de cadenas indirectas.",IF(H58&gt;2,"Variable latente: hoy es secundaria, pero ganará peso si las relaciones potenciales se materializan.",IF(AND(G58&lt;-2,H58&lt;-2),"Su importancia aparente en la lectura directa no se sostiene ni por vía indirecta ni potencial.","Comportamiento estable en las distintas clasificaciones.")))))</f>
        <v/>
      </c>
    </row>
    <row r="59" spans="1:12" x14ac:dyDescent="0.2">
      <c r="A59" s="6" t="str">
        <f>IF(_motor!$B$639=0,"",'02 · Variables'!$B$60)</f>
        <v/>
      </c>
      <c r="B59" s="2" t="str">
        <f>IF(_motor!$B$639=0,"",'02 · Variables'!$C$60)</f>
        <v/>
      </c>
      <c r="C59" s="7" t="str">
        <f>IF(_motor!$B$639=0,"",SUMPRODUCT(_motor!$B$586:$B$665*(_motor!$C$586:$C$665&gt;_motor!$C$639))+(SUMPRODUCT(_motor!$B$586:$B$665*(_motor!$C$586:$C$665=_motor!$C$639))+1)/2)</f>
        <v/>
      </c>
      <c r="D59" s="7" t="str">
        <f>IF(_motor!$B$639=0,"",SUMPRODUCT(_motor!$B$586:$B$665*(_motor!$E$586:$E$665&gt;_motor!$E$639))+(SUMPRODUCT(_motor!$B$586:$B$665*(_motor!$E$586:$E$665=_motor!$E$639))+1)/2)</f>
        <v/>
      </c>
      <c r="E59" s="7" t="str">
        <f>IF(_motor!$B$639=0,"",SUMPRODUCT(_motor!$B$586:$B$665*(_motor!$G$586:$G$665&gt;_motor!$G$639))+(SUMPRODUCT(_motor!$B$586:$B$665*(_motor!$G$586:$G$665=_motor!$G$639))+1)/2)</f>
        <v/>
      </c>
      <c r="F59" s="7" t="str">
        <f>IF(_motor!$B$639=0,"",SUMPRODUCT(_motor!$B$586:$B$665*(_motor!$I$586:$I$665&gt;_motor!$I$639))+(SUMPRODUCT(_motor!$B$586:$B$665*(_motor!$I$586:$I$665=_motor!$I$639))+1)/2)</f>
        <v/>
      </c>
      <c r="G59" s="7" t="str">
        <f>IF(_motor!$B$639=0,"",C59-D59)</f>
        <v/>
      </c>
      <c r="H59" s="7" t="str">
        <f>IF(_motor!$B$639=0,"",C59-E59)</f>
        <v/>
      </c>
      <c r="I59" s="2" t="str">
        <f>IF(_motor!$B$639=0,"",IF(AND(ABS(_motor!$C$639-_motor!$B$668)&lt;=_motor!$B$676+0.000000001,ABS(_motor!$D$639-_motor!$B$668)&lt;=_motor!$B$676+0.000000001),"5 · Pelotón (no concluyente)",IF(AND(_motor!$C$639&gt;=_motor!$B$668,_motor!$D$639&lt;_motor!$B$668),"1 · Entrada / determinante",IF(AND(_motor!$C$639&gt;=_motor!$B$668,_motor!$D$639&gt;=_motor!$B$668),"2 · Intermedia / de enlace",IF(AND(_motor!$C$639&lt;_motor!$B$668,_motor!$D$639&gt;=_motor!$B$668),"3 · Resultado","4 · Excluida / autónoma")))))</f>
        <v/>
      </c>
      <c r="J59" s="2" t="str">
        <f>IF(_motor!$B$639=0,"",IF(AND(ABS(_motor!$I$639-_motor!$B$671)&lt;=_motor!$B$679+0.000000001,ABS(_motor!$J$639-_motor!$B$671)&lt;=_motor!$B$679+0.000000001),"5 · Pelotón (no concluyente)",IF(AND(_motor!$I$639&gt;=_motor!$B$671,_motor!$J$639&lt;_motor!$B$671),"1 · Entrada / determinante",IF(AND(_motor!$I$639&gt;=_motor!$B$671,_motor!$J$639&gt;=_motor!$B$671),"2 · Intermedia / de enlace",IF(AND(_motor!$I$639&lt;_motor!$B$671,_motor!$J$639&gt;=_motor!$B$671),"3 · Resultado","4 · Excluida / autónoma")))))</f>
        <v/>
      </c>
      <c r="K59" s="7" t="str">
        <f>IF(_motor!$B$639=0,"",IF(LEFT(I59,1)=LEFT(J59,1),"No","SÍ"))</f>
        <v/>
      </c>
      <c r="L59" s="2" t="str">
        <f>IF(_motor!$B$639=0,"",IF(AND(G59&gt;2,H59&gt;2),"Variable oculta y además latente: su peso real está muy infravalorado en la lectura directa. Prioridad máxima de seguimiento.",IF(G59&gt;2,"Variable oculta: gobierna el sistema a través de cadenas indirectas.",IF(H59&gt;2,"Variable latente: hoy es secundaria, pero ganará peso si las relaciones potenciales se materializan.",IF(AND(G59&lt;-2,H59&lt;-2),"Su importancia aparente en la lectura directa no se sostiene ni por vía indirecta ni potencial.","Comportamiento estable en las distintas clasificaciones.")))))</f>
        <v/>
      </c>
    </row>
    <row r="60" spans="1:12" x14ac:dyDescent="0.2">
      <c r="A60" s="6" t="str">
        <f>IF(_motor!$B$640=0,"",'02 · Variables'!$B$61)</f>
        <v/>
      </c>
      <c r="B60" s="2" t="str">
        <f>IF(_motor!$B$640=0,"",'02 · Variables'!$C$61)</f>
        <v/>
      </c>
      <c r="C60" s="7" t="str">
        <f>IF(_motor!$B$640=0,"",SUMPRODUCT(_motor!$B$586:$B$665*(_motor!$C$586:$C$665&gt;_motor!$C$640))+(SUMPRODUCT(_motor!$B$586:$B$665*(_motor!$C$586:$C$665=_motor!$C$640))+1)/2)</f>
        <v/>
      </c>
      <c r="D60" s="7" t="str">
        <f>IF(_motor!$B$640=0,"",SUMPRODUCT(_motor!$B$586:$B$665*(_motor!$E$586:$E$665&gt;_motor!$E$640))+(SUMPRODUCT(_motor!$B$586:$B$665*(_motor!$E$586:$E$665=_motor!$E$640))+1)/2)</f>
        <v/>
      </c>
      <c r="E60" s="7" t="str">
        <f>IF(_motor!$B$640=0,"",SUMPRODUCT(_motor!$B$586:$B$665*(_motor!$G$586:$G$665&gt;_motor!$G$640))+(SUMPRODUCT(_motor!$B$586:$B$665*(_motor!$G$586:$G$665=_motor!$G$640))+1)/2)</f>
        <v/>
      </c>
      <c r="F60" s="7" t="str">
        <f>IF(_motor!$B$640=0,"",SUMPRODUCT(_motor!$B$586:$B$665*(_motor!$I$586:$I$665&gt;_motor!$I$640))+(SUMPRODUCT(_motor!$B$586:$B$665*(_motor!$I$586:$I$665=_motor!$I$640))+1)/2)</f>
        <v/>
      </c>
      <c r="G60" s="7" t="str">
        <f>IF(_motor!$B$640=0,"",C60-D60)</f>
        <v/>
      </c>
      <c r="H60" s="7" t="str">
        <f>IF(_motor!$B$640=0,"",C60-E60)</f>
        <v/>
      </c>
      <c r="I60" s="2" t="str">
        <f>IF(_motor!$B$640=0,"",IF(AND(ABS(_motor!$C$640-_motor!$B$668)&lt;=_motor!$B$676+0.000000001,ABS(_motor!$D$640-_motor!$B$668)&lt;=_motor!$B$676+0.000000001),"5 · Pelotón (no concluyente)",IF(AND(_motor!$C$640&gt;=_motor!$B$668,_motor!$D$640&lt;_motor!$B$668),"1 · Entrada / determinante",IF(AND(_motor!$C$640&gt;=_motor!$B$668,_motor!$D$640&gt;=_motor!$B$668),"2 · Intermedia / de enlace",IF(AND(_motor!$C$640&lt;_motor!$B$668,_motor!$D$640&gt;=_motor!$B$668),"3 · Resultado","4 · Excluida / autónoma")))))</f>
        <v/>
      </c>
      <c r="J60" s="2" t="str">
        <f>IF(_motor!$B$640=0,"",IF(AND(ABS(_motor!$I$640-_motor!$B$671)&lt;=_motor!$B$679+0.000000001,ABS(_motor!$J$640-_motor!$B$671)&lt;=_motor!$B$679+0.000000001),"5 · Pelotón (no concluyente)",IF(AND(_motor!$I$640&gt;=_motor!$B$671,_motor!$J$640&lt;_motor!$B$671),"1 · Entrada / determinante",IF(AND(_motor!$I$640&gt;=_motor!$B$671,_motor!$J$640&gt;=_motor!$B$671),"2 · Intermedia / de enlace",IF(AND(_motor!$I$640&lt;_motor!$B$671,_motor!$J$640&gt;=_motor!$B$671),"3 · Resultado","4 · Excluida / autónoma")))))</f>
        <v/>
      </c>
      <c r="K60" s="7" t="str">
        <f>IF(_motor!$B$640=0,"",IF(LEFT(I60,1)=LEFT(J60,1),"No","SÍ"))</f>
        <v/>
      </c>
      <c r="L60" s="2" t="str">
        <f>IF(_motor!$B$640=0,"",IF(AND(G60&gt;2,H60&gt;2),"Variable oculta y además latente: su peso real está muy infravalorado en la lectura directa. Prioridad máxima de seguimiento.",IF(G60&gt;2,"Variable oculta: gobierna el sistema a través de cadenas indirectas.",IF(H60&gt;2,"Variable latente: hoy es secundaria, pero ganará peso si las relaciones potenciales se materializan.",IF(AND(G60&lt;-2,H60&lt;-2),"Su importancia aparente en la lectura directa no se sostiene ni por vía indirecta ni potencial.","Comportamiento estable en las distintas clasificaciones.")))))</f>
        <v/>
      </c>
    </row>
    <row r="61" spans="1:12" x14ac:dyDescent="0.2">
      <c r="A61" s="6" t="str">
        <f>IF(_motor!$B$641=0,"",'02 · Variables'!$B$62)</f>
        <v/>
      </c>
      <c r="B61" s="2" t="str">
        <f>IF(_motor!$B$641=0,"",'02 · Variables'!$C$62)</f>
        <v/>
      </c>
      <c r="C61" s="7" t="str">
        <f>IF(_motor!$B$641=0,"",SUMPRODUCT(_motor!$B$586:$B$665*(_motor!$C$586:$C$665&gt;_motor!$C$641))+(SUMPRODUCT(_motor!$B$586:$B$665*(_motor!$C$586:$C$665=_motor!$C$641))+1)/2)</f>
        <v/>
      </c>
      <c r="D61" s="7" t="str">
        <f>IF(_motor!$B$641=0,"",SUMPRODUCT(_motor!$B$586:$B$665*(_motor!$E$586:$E$665&gt;_motor!$E$641))+(SUMPRODUCT(_motor!$B$586:$B$665*(_motor!$E$586:$E$665=_motor!$E$641))+1)/2)</f>
        <v/>
      </c>
      <c r="E61" s="7" t="str">
        <f>IF(_motor!$B$641=0,"",SUMPRODUCT(_motor!$B$586:$B$665*(_motor!$G$586:$G$665&gt;_motor!$G$641))+(SUMPRODUCT(_motor!$B$586:$B$665*(_motor!$G$586:$G$665=_motor!$G$641))+1)/2)</f>
        <v/>
      </c>
      <c r="F61" s="7" t="str">
        <f>IF(_motor!$B$641=0,"",SUMPRODUCT(_motor!$B$586:$B$665*(_motor!$I$586:$I$665&gt;_motor!$I$641))+(SUMPRODUCT(_motor!$B$586:$B$665*(_motor!$I$586:$I$665=_motor!$I$641))+1)/2)</f>
        <v/>
      </c>
      <c r="G61" s="7" t="str">
        <f>IF(_motor!$B$641=0,"",C61-D61)</f>
        <v/>
      </c>
      <c r="H61" s="7" t="str">
        <f>IF(_motor!$B$641=0,"",C61-E61)</f>
        <v/>
      </c>
      <c r="I61" s="2" t="str">
        <f>IF(_motor!$B$641=0,"",IF(AND(ABS(_motor!$C$641-_motor!$B$668)&lt;=_motor!$B$676+0.000000001,ABS(_motor!$D$641-_motor!$B$668)&lt;=_motor!$B$676+0.000000001),"5 · Pelotón (no concluyente)",IF(AND(_motor!$C$641&gt;=_motor!$B$668,_motor!$D$641&lt;_motor!$B$668),"1 · Entrada / determinante",IF(AND(_motor!$C$641&gt;=_motor!$B$668,_motor!$D$641&gt;=_motor!$B$668),"2 · Intermedia / de enlace",IF(AND(_motor!$C$641&lt;_motor!$B$668,_motor!$D$641&gt;=_motor!$B$668),"3 · Resultado","4 · Excluida / autónoma")))))</f>
        <v/>
      </c>
      <c r="J61" s="2" t="str">
        <f>IF(_motor!$B$641=0,"",IF(AND(ABS(_motor!$I$641-_motor!$B$671)&lt;=_motor!$B$679+0.000000001,ABS(_motor!$J$641-_motor!$B$671)&lt;=_motor!$B$679+0.000000001),"5 · Pelotón (no concluyente)",IF(AND(_motor!$I$641&gt;=_motor!$B$671,_motor!$J$641&lt;_motor!$B$671),"1 · Entrada / determinante",IF(AND(_motor!$I$641&gt;=_motor!$B$671,_motor!$J$641&gt;=_motor!$B$671),"2 · Intermedia / de enlace",IF(AND(_motor!$I$641&lt;_motor!$B$671,_motor!$J$641&gt;=_motor!$B$671),"3 · Resultado","4 · Excluida / autónoma")))))</f>
        <v/>
      </c>
      <c r="K61" s="7" t="str">
        <f>IF(_motor!$B$641=0,"",IF(LEFT(I61,1)=LEFT(J61,1),"No","SÍ"))</f>
        <v/>
      </c>
      <c r="L61" s="2" t="str">
        <f>IF(_motor!$B$641=0,"",IF(AND(G61&gt;2,H61&gt;2),"Variable oculta y además latente: su peso real está muy infravalorado en la lectura directa. Prioridad máxima de seguimiento.",IF(G61&gt;2,"Variable oculta: gobierna el sistema a través de cadenas indirectas.",IF(H61&gt;2,"Variable latente: hoy es secundaria, pero ganará peso si las relaciones potenciales se materializan.",IF(AND(G61&lt;-2,H61&lt;-2),"Su importancia aparente en la lectura directa no se sostiene ni por vía indirecta ni potencial.","Comportamiento estable en las distintas clasificaciones.")))))</f>
        <v/>
      </c>
    </row>
    <row r="62" spans="1:12" x14ac:dyDescent="0.2">
      <c r="A62" s="6" t="str">
        <f>IF(_motor!$B$642=0,"",'02 · Variables'!$B$63)</f>
        <v/>
      </c>
      <c r="B62" s="2" t="str">
        <f>IF(_motor!$B$642=0,"",'02 · Variables'!$C$63)</f>
        <v/>
      </c>
      <c r="C62" s="7" t="str">
        <f>IF(_motor!$B$642=0,"",SUMPRODUCT(_motor!$B$586:$B$665*(_motor!$C$586:$C$665&gt;_motor!$C$642))+(SUMPRODUCT(_motor!$B$586:$B$665*(_motor!$C$586:$C$665=_motor!$C$642))+1)/2)</f>
        <v/>
      </c>
      <c r="D62" s="7" t="str">
        <f>IF(_motor!$B$642=0,"",SUMPRODUCT(_motor!$B$586:$B$665*(_motor!$E$586:$E$665&gt;_motor!$E$642))+(SUMPRODUCT(_motor!$B$586:$B$665*(_motor!$E$586:$E$665=_motor!$E$642))+1)/2)</f>
        <v/>
      </c>
      <c r="E62" s="7" t="str">
        <f>IF(_motor!$B$642=0,"",SUMPRODUCT(_motor!$B$586:$B$665*(_motor!$G$586:$G$665&gt;_motor!$G$642))+(SUMPRODUCT(_motor!$B$586:$B$665*(_motor!$G$586:$G$665=_motor!$G$642))+1)/2)</f>
        <v/>
      </c>
      <c r="F62" s="7" t="str">
        <f>IF(_motor!$B$642=0,"",SUMPRODUCT(_motor!$B$586:$B$665*(_motor!$I$586:$I$665&gt;_motor!$I$642))+(SUMPRODUCT(_motor!$B$586:$B$665*(_motor!$I$586:$I$665=_motor!$I$642))+1)/2)</f>
        <v/>
      </c>
      <c r="G62" s="7" t="str">
        <f>IF(_motor!$B$642=0,"",C62-D62)</f>
        <v/>
      </c>
      <c r="H62" s="7" t="str">
        <f>IF(_motor!$B$642=0,"",C62-E62)</f>
        <v/>
      </c>
      <c r="I62" s="2" t="str">
        <f>IF(_motor!$B$642=0,"",IF(AND(ABS(_motor!$C$642-_motor!$B$668)&lt;=_motor!$B$676+0.000000001,ABS(_motor!$D$642-_motor!$B$668)&lt;=_motor!$B$676+0.000000001),"5 · Pelotón (no concluyente)",IF(AND(_motor!$C$642&gt;=_motor!$B$668,_motor!$D$642&lt;_motor!$B$668),"1 · Entrada / determinante",IF(AND(_motor!$C$642&gt;=_motor!$B$668,_motor!$D$642&gt;=_motor!$B$668),"2 · Intermedia / de enlace",IF(AND(_motor!$C$642&lt;_motor!$B$668,_motor!$D$642&gt;=_motor!$B$668),"3 · Resultado","4 · Excluida / autónoma")))))</f>
        <v/>
      </c>
      <c r="J62" s="2" t="str">
        <f>IF(_motor!$B$642=0,"",IF(AND(ABS(_motor!$I$642-_motor!$B$671)&lt;=_motor!$B$679+0.000000001,ABS(_motor!$J$642-_motor!$B$671)&lt;=_motor!$B$679+0.000000001),"5 · Pelotón (no concluyente)",IF(AND(_motor!$I$642&gt;=_motor!$B$671,_motor!$J$642&lt;_motor!$B$671),"1 · Entrada / determinante",IF(AND(_motor!$I$642&gt;=_motor!$B$671,_motor!$J$642&gt;=_motor!$B$671),"2 · Intermedia / de enlace",IF(AND(_motor!$I$642&lt;_motor!$B$671,_motor!$J$642&gt;=_motor!$B$671),"3 · Resultado","4 · Excluida / autónoma")))))</f>
        <v/>
      </c>
      <c r="K62" s="7" t="str">
        <f>IF(_motor!$B$642=0,"",IF(LEFT(I62,1)=LEFT(J62,1),"No","SÍ"))</f>
        <v/>
      </c>
      <c r="L62" s="2" t="str">
        <f>IF(_motor!$B$642=0,"",IF(AND(G62&gt;2,H62&gt;2),"Variable oculta y además latente: su peso real está muy infravalorado en la lectura directa. Prioridad máxima de seguimiento.",IF(G62&gt;2,"Variable oculta: gobierna el sistema a través de cadenas indirectas.",IF(H62&gt;2,"Variable latente: hoy es secundaria, pero ganará peso si las relaciones potenciales se materializan.",IF(AND(G62&lt;-2,H62&lt;-2),"Su importancia aparente en la lectura directa no se sostiene ni por vía indirecta ni potencial.","Comportamiento estable en las distintas clasificaciones.")))))</f>
        <v/>
      </c>
    </row>
    <row r="63" spans="1:12" x14ac:dyDescent="0.2">
      <c r="A63" s="6" t="str">
        <f>IF(_motor!$B$643=0,"",'02 · Variables'!$B$64)</f>
        <v/>
      </c>
      <c r="B63" s="2" t="str">
        <f>IF(_motor!$B$643=0,"",'02 · Variables'!$C$64)</f>
        <v/>
      </c>
      <c r="C63" s="7" t="str">
        <f>IF(_motor!$B$643=0,"",SUMPRODUCT(_motor!$B$586:$B$665*(_motor!$C$586:$C$665&gt;_motor!$C$643))+(SUMPRODUCT(_motor!$B$586:$B$665*(_motor!$C$586:$C$665=_motor!$C$643))+1)/2)</f>
        <v/>
      </c>
      <c r="D63" s="7" t="str">
        <f>IF(_motor!$B$643=0,"",SUMPRODUCT(_motor!$B$586:$B$665*(_motor!$E$586:$E$665&gt;_motor!$E$643))+(SUMPRODUCT(_motor!$B$586:$B$665*(_motor!$E$586:$E$665=_motor!$E$643))+1)/2)</f>
        <v/>
      </c>
      <c r="E63" s="7" t="str">
        <f>IF(_motor!$B$643=0,"",SUMPRODUCT(_motor!$B$586:$B$665*(_motor!$G$586:$G$665&gt;_motor!$G$643))+(SUMPRODUCT(_motor!$B$586:$B$665*(_motor!$G$586:$G$665=_motor!$G$643))+1)/2)</f>
        <v/>
      </c>
      <c r="F63" s="7" t="str">
        <f>IF(_motor!$B$643=0,"",SUMPRODUCT(_motor!$B$586:$B$665*(_motor!$I$586:$I$665&gt;_motor!$I$643))+(SUMPRODUCT(_motor!$B$586:$B$665*(_motor!$I$586:$I$665=_motor!$I$643))+1)/2)</f>
        <v/>
      </c>
      <c r="G63" s="7" t="str">
        <f>IF(_motor!$B$643=0,"",C63-D63)</f>
        <v/>
      </c>
      <c r="H63" s="7" t="str">
        <f>IF(_motor!$B$643=0,"",C63-E63)</f>
        <v/>
      </c>
      <c r="I63" s="2" t="str">
        <f>IF(_motor!$B$643=0,"",IF(AND(ABS(_motor!$C$643-_motor!$B$668)&lt;=_motor!$B$676+0.000000001,ABS(_motor!$D$643-_motor!$B$668)&lt;=_motor!$B$676+0.000000001),"5 · Pelotón (no concluyente)",IF(AND(_motor!$C$643&gt;=_motor!$B$668,_motor!$D$643&lt;_motor!$B$668),"1 · Entrada / determinante",IF(AND(_motor!$C$643&gt;=_motor!$B$668,_motor!$D$643&gt;=_motor!$B$668),"2 · Intermedia / de enlace",IF(AND(_motor!$C$643&lt;_motor!$B$668,_motor!$D$643&gt;=_motor!$B$668),"3 · Resultado","4 · Excluida / autónoma")))))</f>
        <v/>
      </c>
      <c r="J63" s="2" t="str">
        <f>IF(_motor!$B$643=0,"",IF(AND(ABS(_motor!$I$643-_motor!$B$671)&lt;=_motor!$B$679+0.000000001,ABS(_motor!$J$643-_motor!$B$671)&lt;=_motor!$B$679+0.000000001),"5 · Pelotón (no concluyente)",IF(AND(_motor!$I$643&gt;=_motor!$B$671,_motor!$J$643&lt;_motor!$B$671),"1 · Entrada / determinante",IF(AND(_motor!$I$643&gt;=_motor!$B$671,_motor!$J$643&gt;=_motor!$B$671),"2 · Intermedia / de enlace",IF(AND(_motor!$I$643&lt;_motor!$B$671,_motor!$J$643&gt;=_motor!$B$671),"3 · Resultado","4 · Excluida / autónoma")))))</f>
        <v/>
      </c>
      <c r="K63" s="7" t="str">
        <f>IF(_motor!$B$643=0,"",IF(LEFT(I63,1)=LEFT(J63,1),"No","SÍ"))</f>
        <v/>
      </c>
      <c r="L63" s="2" t="str">
        <f>IF(_motor!$B$643=0,"",IF(AND(G63&gt;2,H63&gt;2),"Variable oculta y además latente: su peso real está muy infravalorado en la lectura directa. Prioridad máxima de seguimiento.",IF(G63&gt;2,"Variable oculta: gobierna el sistema a través de cadenas indirectas.",IF(H63&gt;2,"Variable latente: hoy es secundaria, pero ganará peso si las relaciones potenciales se materializan.",IF(AND(G63&lt;-2,H63&lt;-2),"Su importancia aparente en la lectura directa no se sostiene ni por vía indirecta ni potencial.","Comportamiento estable en las distintas clasificaciones.")))))</f>
        <v/>
      </c>
    </row>
    <row r="64" spans="1:12" x14ac:dyDescent="0.2">
      <c r="A64" s="6" t="str">
        <f>IF(_motor!$B$644=0,"",'02 · Variables'!$B$65)</f>
        <v/>
      </c>
      <c r="B64" s="2" t="str">
        <f>IF(_motor!$B$644=0,"",'02 · Variables'!$C$65)</f>
        <v/>
      </c>
      <c r="C64" s="7" t="str">
        <f>IF(_motor!$B$644=0,"",SUMPRODUCT(_motor!$B$586:$B$665*(_motor!$C$586:$C$665&gt;_motor!$C$644))+(SUMPRODUCT(_motor!$B$586:$B$665*(_motor!$C$586:$C$665=_motor!$C$644))+1)/2)</f>
        <v/>
      </c>
      <c r="D64" s="7" t="str">
        <f>IF(_motor!$B$644=0,"",SUMPRODUCT(_motor!$B$586:$B$665*(_motor!$E$586:$E$665&gt;_motor!$E$644))+(SUMPRODUCT(_motor!$B$586:$B$665*(_motor!$E$586:$E$665=_motor!$E$644))+1)/2)</f>
        <v/>
      </c>
      <c r="E64" s="7" t="str">
        <f>IF(_motor!$B$644=0,"",SUMPRODUCT(_motor!$B$586:$B$665*(_motor!$G$586:$G$665&gt;_motor!$G$644))+(SUMPRODUCT(_motor!$B$586:$B$665*(_motor!$G$586:$G$665=_motor!$G$644))+1)/2)</f>
        <v/>
      </c>
      <c r="F64" s="7" t="str">
        <f>IF(_motor!$B$644=0,"",SUMPRODUCT(_motor!$B$586:$B$665*(_motor!$I$586:$I$665&gt;_motor!$I$644))+(SUMPRODUCT(_motor!$B$586:$B$665*(_motor!$I$586:$I$665=_motor!$I$644))+1)/2)</f>
        <v/>
      </c>
      <c r="G64" s="7" t="str">
        <f>IF(_motor!$B$644=0,"",C64-D64)</f>
        <v/>
      </c>
      <c r="H64" s="7" t="str">
        <f>IF(_motor!$B$644=0,"",C64-E64)</f>
        <v/>
      </c>
      <c r="I64" s="2" t="str">
        <f>IF(_motor!$B$644=0,"",IF(AND(ABS(_motor!$C$644-_motor!$B$668)&lt;=_motor!$B$676+0.000000001,ABS(_motor!$D$644-_motor!$B$668)&lt;=_motor!$B$676+0.000000001),"5 · Pelotón (no concluyente)",IF(AND(_motor!$C$644&gt;=_motor!$B$668,_motor!$D$644&lt;_motor!$B$668),"1 · Entrada / determinante",IF(AND(_motor!$C$644&gt;=_motor!$B$668,_motor!$D$644&gt;=_motor!$B$668),"2 · Intermedia / de enlace",IF(AND(_motor!$C$644&lt;_motor!$B$668,_motor!$D$644&gt;=_motor!$B$668),"3 · Resultado","4 · Excluida / autónoma")))))</f>
        <v/>
      </c>
      <c r="J64" s="2" t="str">
        <f>IF(_motor!$B$644=0,"",IF(AND(ABS(_motor!$I$644-_motor!$B$671)&lt;=_motor!$B$679+0.000000001,ABS(_motor!$J$644-_motor!$B$671)&lt;=_motor!$B$679+0.000000001),"5 · Pelotón (no concluyente)",IF(AND(_motor!$I$644&gt;=_motor!$B$671,_motor!$J$644&lt;_motor!$B$671),"1 · Entrada / determinante",IF(AND(_motor!$I$644&gt;=_motor!$B$671,_motor!$J$644&gt;=_motor!$B$671),"2 · Intermedia / de enlace",IF(AND(_motor!$I$644&lt;_motor!$B$671,_motor!$J$644&gt;=_motor!$B$671),"3 · Resultado","4 · Excluida / autónoma")))))</f>
        <v/>
      </c>
      <c r="K64" s="7" t="str">
        <f>IF(_motor!$B$644=0,"",IF(LEFT(I64,1)=LEFT(J64,1),"No","SÍ"))</f>
        <v/>
      </c>
      <c r="L64" s="2" t="str">
        <f>IF(_motor!$B$644=0,"",IF(AND(G64&gt;2,H64&gt;2),"Variable oculta y además latente: su peso real está muy infravalorado en la lectura directa. Prioridad máxima de seguimiento.",IF(G64&gt;2,"Variable oculta: gobierna el sistema a través de cadenas indirectas.",IF(H64&gt;2,"Variable latente: hoy es secundaria, pero ganará peso si las relaciones potenciales se materializan.",IF(AND(G64&lt;-2,H64&lt;-2),"Su importancia aparente en la lectura directa no se sostiene ni por vía indirecta ni potencial.","Comportamiento estable en las distintas clasificaciones.")))))</f>
        <v/>
      </c>
    </row>
    <row r="65" spans="1:12" x14ac:dyDescent="0.2">
      <c r="A65" s="6" t="str">
        <f>IF(_motor!$B$645=0,"",'02 · Variables'!$B$66)</f>
        <v/>
      </c>
      <c r="B65" s="2" t="str">
        <f>IF(_motor!$B$645=0,"",'02 · Variables'!$C$66)</f>
        <v/>
      </c>
      <c r="C65" s="7" t="str">
        <f>IF(_motor!$B$645=0,"",SUMPRODUCT(_motor!$B$586:$B$665*(_motor!$C$586:$C$665&gt;_motor!$C$645))+(SUMPRODUCT(_motor!$B$586:$B$665*(_motor!$C$586:$C$665=_motor!$C$645))+1)/2)</f>
        <v/>
      </c>
      <c r="D65" s="7" t="str">
        <f>IF(_motor!$B$645=0,"",SUMPRODUCT(_motor!$B$586:$B$665*(_motor!$E$586:$E$665&gt;_motor!$E$645))+(SUMPRODUCT(_motor!$B$586:$B$665*(_motor!$E$586:$E$665=_motor!$E$645))+1)/2)</f>
        <v/>
      </c>
      <c r="E65" s="7" t="str">
        <f>IF(_motor!$B$645=0,"",SUMPRODUCT(_motor!$B$586:$B$665*(_motor!$G$586:$G$665&gt;_motor!$G$645))+(SUMPRODUCT(_motor!$B$586:$B$665*(_motor!$G$586:$G$665=_motor!$G$645))+1)/2)</f>
        <v/>
      </c>
      <c r="F65" s="7" t="str">
        <f>IF(_motor!$B$645=0,"",SUMPRODUCT(_motor!$B$586:$B$665*(_motor!$I$586:$I$665&gt;_motor!$I$645))+(SUMPRODUCT(_motor!$B$586:$B$665*(_motor!$I$586:$I$665=_motor!$I$645))+1)/2)</f>
        <v/>
      </c>
      <c r="G65" s="7" t="str">
        <f>IF(_motor!$B$645=0,"",C65-D65)</f>
        <v/>
      </c>
      <c r="H65" s="7" t="str">
        <f>IF(_motor!$B$645=0,"",C65-E65)</f>
        <v/>
      </c>
      <c r="I65" s="2" t="str">
        <f>IF(_motor!$B$645=0,"",IF(AND(ABS(_motor!$C$645-_motor!$B$668)&lt;=_motor!$B$676+0.000000001,ABS(_motor!$D$645-_motor!$B$668)&lt;=_motor!$B$676+0.000000001),"5 · Pelotón (no concluyente)",IF(AND(_motor!$C$645&gt;=_motor!$B$668,_motor!$D$645&lt;_motor!$B$668),"1 · Entrada / determinante",IF(AND(_motor!$C$645&gt;=_motor!$B$668,_motor!$D$645&gt;=_motor!$B$668),"2 · Intermedia / de enlace",IF(AND(_motor!$C$645&lt;_motor!$B$668,_motor!$D$645&gt;=_motor!$B$668),"3 · Resultado","4 · Excluida / autónoma")))))</f>
        <v/>
      </c>
      <c r="J65" s="2" t="str">
        <f>IF(_motor!$B$645=0,"",IF(AND(ABS(_motor!$I$645-_motor!$B$671)&lt;=_motor!$B$679+0.000000001,ABS(_motor!$J$645-_motor!$B$671)&lt;=_motor!$B$679+0.000000001),"5 · Pelotón (no concluyente)",IF(AND(_motor!$I$645&gt;=_motor!$B$671,_motor!$J$645&lt;_motor!$B$671),"1 · Entrada / determinante",IF(AND(_motor!$I$645&gt;=_motor!$B$671,_motor!$J$645&gt;=_motor!$B$671),"2 · Intermedia / de enlace",IF(AND(_motor!$I$645&lt;_motor!$B$671,_motor!$J$645&gt;=_motor!$B$671),"3 · Resultado","4 · Excluida / autónoma")))))</f>
        <v/>
      </c>
      <c r="K65" s="7" t="str">
        <f>IF(_motor!$B$645=0,"",IF(LEFT(I65,1)=LEFT(J65,1),"No","SÍ"))</f>
        <v/>
      </c>
      <c r="L65" s="2" t="str">
        <f>IF(_motor!$B$645=0,"",IF(AND(G65&gt;2,H65&gt;2),"Variable oculta y además latente: su peso real está muy infravalorado en la lectura directa. Prioridad máxima de seguimiento.",IF(G65&gt;2,"Variable oculta: gobierna el sistema a través de cadenas indirectas.",IF(H65&gt;2,"Variable latente: hoy es secundaria, pero ganará peso si las relaciones potenciales se materializan.",IF(AND(G65&lt;-2,H65&lt;-2),"Su importancia aparente en la lectura directa no se sostiene ni por vía indirecta ni potencial.","Comportamiento estable en las distintas clasificaciones.")))))</f>
        <v/>
      </c>
    </row>
    <row r="66" spans="1:12" x14ac:dyDescent="0.2">
      <c r="A66" s="6" t="str">
        <f>IF(_motor!$B$646=0,"",'02 · Variables'!$B$67)</f>
        <v/>
      </c>
      <c r="B66" s="2" t="str">
        <f>IF(_motor!$B$646=0,"",'02 · Variables'!$C$67)</f>
        <v/>
      </c>
      <c r="C66" s="7" t="str">
        <f>IF(_motor!$B$646=0,"",SUMPRODUCT(_motor!$B$586:$B$665*(_motor!$C$586:$C$665&gt;_motor!$C$646))+(SUMPRODUCT(_motor!$B$586:$B$665*(_motor!$C$586:$C$665=_motor!$C$646))+1)/2)</f>
        <v/>
      </c>
      <c r="D66" s="7" t="str">
        <f>IF(_motor!$B$646=0,"",SUMPRODUCT(_motor!$B$586:$B$665*(_motor!$E$586:$E$665&gt;_motor!$E$646))+(SUMPRODUCT(_motor!$B$586:$B$665*(_motor!$E$586:$E$665=_motor!$E$646))+1)/2)</f>
        <v/>
      </c>
      <c r="E66" s="7" t="str">
        <f>IF(_motor!$B$646=0,"",SUMPRODUCT(_motor!$B$586:$B$665*(_motor!$G$586:$G$665&gt;_motor!$G$646))+(SUMPRODUCT(_motor!$B$586:$B$665*(_motor!$G$586:$G$665=_motor!$G$646))+1)/2)</f>
        <v/>
      </c>
      <c r="F66" s="7" t="str">
        <f>IF(_motor!$B$646=0,"",SUMPRODUCT(_motor!$B$586:$B$665*(_motor!$I$586:$I$665&gt;_motor!$I$646))+(SUMPRODUCT(_motor!$B$586:$B$665*(_motor!$I$586:$I$665=_motor!$I$646))+1)/2)</f>
        <v/>
      </c>
      <c r="G66" s="7" t="str">
        <f>IF(_motor!$B$646=0,"",C66-D66)</f>
        <v/>
      </c>
      <c r="H66" s="7" t="str">
        <f>IF(_motor!$B$646=0,"",C66-E66)</f>
        <v/>
      </c>
      <c r="I66" s="2" t="str">
        <f>IF(_motor!$B$646=0,"",IF(AND(ABS(_motor!$C$646-_motor!$B$668)&lt;=_motor!$B$676+0.000000001,ABS(_motor!$D$646-_motor!$B$668)&lt;=_motor!$B$676+0.000000001),"5 · Pelotón (no concluyente)",IF(AND(_motor!$C$646&gt;=_motor!$B$668,_motor!$D$646&lt;_motor!$B$668),"1 · Entrada / determinante",IF(AND(_motor!$C$646&gt;=_motor!$B$668,_motor!$D$646&gt;=_motor!$B$668),"2 · Intermedia / de enlace",IF(AND(_motor!$C$646&lt;_motor!$B$668,_motor!$D$646&gt;=_motor!$B$668),"3 · Resultado","4 · Excluida / autónoma")))))</f>
        <v/>
      </c>
      <c r="J66" s="2" t="str">
        <f>IF(_motor!$B$646=0,"",IF(AND(ABS(_motor!$I$646-_motor!$B$671)&lt;=_motor!$B$679+0.000000001,ABS(_motor!$J$646-_motor!$B$671)&lt;=_motor!$B$679+0.000000001),"5 · Pelotón (no concluyente)",IF(AND(_motor!$I$646&gt;=_motor!$B$671,_motor!$J$646&lt;_motor!$B$671),"1 · Entrada / determinante",IF(AND(_motor!$I$646&gt;=_motor!$B$671,_motor!$J$646&gt;=_motor!$B$671),"2 · Intermedia / de enlace",IF(AND(_motor!$I$646&lt;_motor!$B$671,_motor!$J$646&gt;=_motor!$B$671),"3 · Resultado","4 · Excluida / autónoma")))))</f>
        <v/>
      </c>
      <c r="K66" s="7" t="str">
        <f>IF(_motor!$B$646=0,"",IF(LEFT(I66,1)=LEFT(J66,1),"No","SÍ"))</f>
        <v/>
      </c>
      <c r="L66" s="2" t="str">
        <f>IF(_motor!$B$646=0,"",IF(AND(G66&gt;2,H66&gt;2),"Variable oculta y además latente: su peso real está muy infravalorado en la lectura directa. Prioridad máxima de seguimiento.",IF(G66&gt;2,"Variable oculta: gobierna el sistema a través de cadenas indirectas.",IF(H66&gt;2,"Variable latente: hoy es secundaria, pero ganará peso si las relaciones potenciales se materializan.",IF(AND(G66&lt;-2,H66&lt;-2),"Su importancia aparente en la lectura directa no se sostiene ni por vía indirecta ni potencial.","Comportamiento estable en las distintas clasificaciones.")))))</f>
        <v/>
      </c>
    </row>
    <row r="67" spans="1:12" x14ac:dyDescent="0.2">
      <c r="A67" s="6" t="str">
        <f>IF(_motor!$B$647=0,"",'02 · Variables'!$B$68)</f>
        <v/>
      </c>
      <c r="B67" s="2" t="str">
        <f>IF(_motor!$B$647=0,"",'02 · Variables'!$C$68)</f>
        <v/>
      </c>
      <c r="C67" s="7" t="str">
        <f>IF(_motor!$B$647=0,"",SUMPRODUCT(_motor!$B$586:$B$665*(_motor!$C$586:$C$665&gt;_motor!$C$647))+(SUMPRODUCT(_motor!$B$586:$B$665*(_motor!$C$586:$C$665=_motor!$C$647))+1)/2)</f>
        <v/>
      </c>
      <c r="D67" s="7" t="str">
        <f>IF(_motor!$B$647=0,"",SUMPRODUCT(_motor!$B$586:$B$665*(_motor!$E$586:$E$665&gt;_motor!$E$647))+(SUMPRODUCT(_motor!$B$586:$B$665*(_motor!$E$586:$E$665=_motor!$E$647))+1)/2)</f>
        <v/>
      </c>
      <c r="E67" s="7" t="str">
        <f>IF(_motor!$B$647=0,"",SUMPRODUCT(_motor!$B$586:$B$665*(_motor!$G$586:$G$665&gt;_motor!$G$647))+(SUMPRODUCT(_motor!$B$586:$B$665*(_motor!$G$586:$G$665=_motor!$G$647))+1)/2)</f>
        <v/>
      </c>
      <c r="F67" s="7" t="str">
        <f>IF(_motor!$B$647=0,"",SUMPRODUCT(_motor!$B$586:$B$665*(_motor!$I$586:$I$665&gt;_motor!$I$647))+(SUMPRODUCT(_motor!$B$586:$B$665*(_motor!$I$586:$I$665=_motor!$I$647))+1)/2)</f>
        <v/>
      </c>
      <c r="G67" s="7" t="str">
        <f>IF(_motor!$B$647=0,"",C67-D67)</f>
        <v/>
      </c>
      <c r="H67" s="7" t="str">
        <f>IF(_motor!$B$647=0,"",C67-E67)</f>
        <v/>
      </c>
      <c r="I67" s="2" t="str">
        <f>IF(_motor!$B$647=0,"",IF(AND(ABS(_motor!$C$647-_motor!$B$668)&lt;=_motor!$B$676+0.000000001,ABS(_motor!$D$647-_motor!$B$668)&lt;=_motor!$B$676+0.000000001),"5 · Pelotón (no concluyente)",IF(AND(_motor!$C$647&gt;=_motor!$B$668,_motor!$D$647&lt;_motor!$B$668),"1 · Entrada / determinante",IF(AND(_motor!$C$647&gt;=_motor!$B$668,_motor!$D$647&gt;=_motor!$B$668),"2 · Intermedia / de enlace",IF(AND(_motor!$C$647&lt;_motor!$B$668,_motor!$D$647&gt;=_motor!$B$668),"3 · Resultado","4 · Excluida / autónoma")))))</f>
        <v/>
      </c>
      <c r="J67" s="2" t="str">
        <f>IF(_motor!$B$647=0,"",IF(AND(ABS(_motor!$I$647-_motor!$B$671)&lt;=_motor!$B$679+0.000000001,ABS(_motor!$J$647-_motor!$B$671)&lt;=_motor!$B$679+0.000000001),"5 · Pelotón (no concluyente)",IF(AND(_motor!$I$647&gt;=_motor!$B$671,_motor!$J$647&lt;_motor!$B$671),"1 · Entrada / determinante",IF(AND(_motor!$I$647&gt;=_motor!$B$671,_motor!$J$647&gt;=_motor!$B$671),"2 · Intermedia / de enlace",IF(AND(_motor!$I$647&lt;_motor!$B$671,_motor!$J$647&gt;=_motor!$B$671),"3 · Resultado","4 · Excluida / autónoma")))))</f>
        <v/>
      </c>
      <c r="K67" s="7" t="str">
        <f>IF(_motor!$B$647=0,"",IF(LEFT(I67,1)=LEFT(J67,1),"No","SÍ"))</f>
        <v/>
      </c>
      <c r="L67" s="2" t="str">
        <f>IF(_motor!$B$647=0,"",IF(AND(G67&gt;2,H67&gt;2),"Variable oculta y además latente: su peso real está muy infravalorado en la lectura directa. Prioridad máxima de seguimiento.",IF(G67&gt;2,"Variable oculta: gobierna el sistema a través de cadenas indirectas.",IF(H67&gt;2,"Variable latente: hoy es secundaria, pero ganará peso si las relaciones potenciales se materializan.",IF(AND(G67&lt;-2,H67&lt;-2),"Su importancia aparente en la lectura directa no se sostiene ni por vía indirecta ni potencial.","Comportamiento estable en las distintas clasificaciones.")))))</f>
        <v/>
      </c>
    </row>
    <row r="68" spans="1:12" x14ac:dyDescent="0.2">
      <c r="A68" s="6" t="str">
        <f>IF(_motor!$B$648=0,"",'02 · Variables'!$B$69)</f>
        <v/>
      </c>
      <c r="B68" s="2" t="str">
        <f>IF(_motor!$B$648=0,"",'02 · Variables'!$C$69)</f>
        <v/>
      </c>
      <c r="C68" s="7" t="str">
        <f>IF(_motor!$B$648=0,"",SUMPRODUCT(_motor!$B$586:$B$665*(_motor!$C$586:$C$665&gt;_motor!$C$648))+(SUMPRODUCT(_motor!$B$586:$B$665*(_motor!$C$586:$C$665=_motor!$C$648))+1)/2)</f>
        <v/>
      </c>
      <c r="D68" s="7" t="str">
        <f>IF(_motor!$B$648=0,"",SUMPRODUCT(_motor!$B$586:$B$665*(_motor!$E$586:$E$665&gt;_motor!$E$648))+(SUMPRODUCT(_motor!$B$586:$B$665*(_motor!$E$586:$E$665=_motor!$E$648))+1)/2)</f>
        <v/>
      </c>
      <c r="E68" s="7" t="str">
        <f>IF(_motor!$B$648=0,"",SUMPRODUCT(_motor!$B$586:$B$665*(_motor!$G$586:$G$665&gt;_motor!$G$648))+(SUMPRODUCT(_motor!$B$586:$B$665*(_motor!$G$586:$G$665=_motor!$G$648))+1)/2)</f>
        <v/>
      </c>
      <c r="F68" s="7" t="str">
        <f>IF(_motor!$B$648=0,"",SUMPRODUCT(_motor!$B$586:$B$665*(_motor!$I$586:$I$665&gt;_motor!$I$648))+(SUMPRODUCT(_motor!$B$586:$B$665*(_motor!$I$586:$I$665=_motor!$I$648))+1)/2)</f>
        <v/>
      </c>
      <c r="G68" s="7" t="str">
        <f>IF(_motor!$B$648=0,"",C68-D68)</f>
        <v/>
      </c>
      <c r="H68" s="7" t="str">
        <f>IF(_motor!$B$648=0,"",C68-E68)</f>
        <v/>
      </c>
      <c r="I68" s="2" t="str">
        <f>IF(_motor!$B$648=0,"",IF(AND(ABS(_motor!$C$648-_motor!$B$668)&lt;=_motor!$B$676+0.000000001,ABS(_motor!$D$648-_motor!$B$668)&lt;=_motor!$B$676+0.000000001),"5 · Pelotón (no concluyente)",IF(AND(_motor!$C$648&gt;=_motor!$B$668,_motor!$D$648&lt;_motor!$B$668),"1 · Entrada / determinante",IF(AND(_motor!$C$648&gt;=_motor!$B$668,_motor!$D$648&gt;=_motor!$B$668),"2 · Intermedia / de enlace",IF(AND(_motor!$C$648&lt;_motor!$B$668,_motor!$D$648&gt;=_motor!$B$668),"3 · Resultado","4 · Excluida / autónoma")))))</f>
        <v/>
      </c>
      <c r="J68" s="2" t="str">
        <f>IF(_motor!$B$648=0,"",IF(AND(ABS(_motor!$I$648-_motor!$B$671)&lt;=_motor!$B$679+0.000000001,ABS(_motor!$J$648-_motor!$B$671)&lt;=_motor!$B$679+0.000000001),"5 · Pelotón (no concluyente)",IF(AND(_motor!$I$648&gt;=_motor!$B$671,_motor!$J$648&lt;_motor!$B$671),"1 · Entrada / determinante",IF(AND(_motor!$I$648&gt;=_motor!$B$671,_motor!$J$648&gt;=_motor!$B$671),"2 · Intermedia / de enlace",IF(AND(_motor!$I$648&lt;_motor!$B$671,_motor!$J$648&gt;=_motor!$B$671),"3 · Resultado","4 · Excluida / autónoma")))))</f>
        <v/>
      </c>
      <c r="K68" s="7" t="str">
        <f>IF(_motor!$B$648=0,"",IF(LEFT(I68,1)=LEFT(J68,1),"No","SÍ"))</f>
        <v/>
      </c>
      <c r="L68" s="2" t="str">
        <f>IF(_motor!$B$648=0,"",IF(AND(G68&gt;2,H68&gt;2),"Variable oculta y además latente: su peso real está muy infravalorado en la lectura directa. Prioridad máxima de seguimiento.",IF(G68&gt;2,"Variable oculta: gobierna el sistema a través de cadenas indirectas.",IF(H68&gt;2,"Variable latente: hoy es secundaria, pero ganará peso si las relaciones potenciales se materializan.",IF(AND(G68&lt;-2,H68&lt;-2),"Su importancia aparente en la lectura directa no se sostiene ni por vía indirecta ni potencial.","Comportamiento estable en las distintas clasificaciones.")))))</f>
        <v/>
      </c>
    </row>
    <row r="69" spans="1:12" x14ac:dyDescent="0.2">
      <c r="A69" s="6" t="str">
        <f>IF(_motor!$B$649=0,"",'02 · Variables'!$B$70)</f>
        <v/>
      </c>
      <c r="B69" s="2" t="str">
        <f>IF(_motor!$B$649=0,"",'02 · Variables'!$C$70)</f>
        <v/>
      </c>
      <c r="C69" s="7" t="str">
        <f>IF(_motor!$B$649=0,"",SUMPRODUCT(_motor!$B$586:$B$665*(_motor!$C$586:$C$665&gt;_motor!$C$649))+(SUMPRODUCT(_motor!$B$586:$B$665*(_motor!$C$586:$C$665=_motor!$C$649))+1)/2)</f>
        <v/>
      </c>
      <c r="D69" s="7" t="str">
        <f>IF(_motor!$B$649=0,"",SUMPRODUCT(_motor!$B$586:$B$665*(_motor!$E$586:$E$665&gt;_motor!$E$649))+(SUMPRODUCT(_motor!$B$586:$B$665*(_motor!$E$586:$E$665=_motor!$E$649))+1)/2)</f>
        <v/>
      </c>
      <c r="E69" s="7" t="str">
        <f>IF(_motor!$B$649=0,"",SUMPRODUCT(_motor!$B$586:$B$665*(_motor!$G$586:$G$665&gt;_motor!$G$649))+(SUMPRODUCT(_motor!$B$586:$B$665*(_motor!$G$586:$G$665=_motor!$G$649))+1)/2)</f>
        <v/>
      </c>
      <c r="F69" s="7" t="str">
        <f>IF(_motor!$B$649=0,"",SUMPRODUCT(_motor!$B$586:$B$665*(_motor!$I$586:$I$665&gt;_motor!$I$649))+(SUMPRODUCT(_motor!$B$586:$B$665*(_motor!$I$586:$I$665=_motor!$I$649))+1)/2)</f>
        <v/>
      </c>
      <c r="G69" s="7" t="str">
        <f>IF(_motor!$B$649=0,"",C69-D69)</f>
        <v/>
      </c>
      <c r="H69" s="7" t="str">
        <f>IF(_motor!$B$649=0,"",C69-E69)</f>
        <v/>
      </c>
      <c r="I69" s="2" t="str">
        <f>IF(_motor!$B$649=0,"",IF(AND(ABS(_motor!$C$649-_motor!$B$668)&lt;=_motor!$B$676+0.000000001,ABS(_motor!$D$649-_motor!$B$668)&lt;=_motor!$B$676+0.000000001),"5 · Pelotón (no concluyente)",IF(AND(_motor!$C$649&gt;=_motor!$B$668,_motor!$D$649&lt;_motor!$B$668),"1 · Entrada / determinante",IF(AND(_motor!$C$649&gt;=_motor!$B$668,_motor!$D$649&gt;=_motor!$B$668),"2 · Intermedia / de enlace",IF(AND(_motor!$C$649&lt;_motor!$B$668,_motor!$D$649&gt;=_motor!$B$668),"3 · Resultado","4 · Excluida / autónoma")))))</f>
        <v/>
      </c>
      <c r="J69" s="2" t="str">
        <f>IF(_motor!$B$649=0,"",IF(AND(ABS(_motor!$I$649-_motor!$B$671)&lt;=_motor!$B$679+0.000000001,ABS(_motor!$J$649-_motor!$B$671)&lt;=_motor!$B$679+0.000000001),"5 · Pelotón (no concluyente)",IF(AND(_motor!$I$649&gt;=_motor!$B$671,_motor!$J$649&lt;_motor!$B$671),"1 · Entrada / determinante",IF(AND(_motor!$I$649&gt;=_motor!$B$671,_motor!$J$649&gt;=_motor!$B$671),"2 · Intermedia / de enlace",IF(AND(_motor!$I$649&lt;_motor!$B$671,_motor!$J$649&gt;=_motor!$B$671),"3 · Resultado","4 · Excluida / autónoma")))))</f>
        <v/>
      </c>
      <c r="K69" s="7" t="str">
        <f>IF(_motor!$B$649=0,"",IF(LEFT(I69,1)=LEFT(J69,1),"No","SÍ"))</f>
        <v/>
      </c>
      <c r="L69" s="2" t="str">
        <f>IF(_motor!$B$649=0,"",IF(AND(G69&gt;2,H69&gt;2),"Variable oculta y además latente: su peso real está muy infravalorado en la lectura directa. Prioridad máxima de seguimiento.",IF(G69&gt;2,"Variable oculta: gobierna el sistema a través de cadenas indirectas.",IF(H69&gt;2,"Variable latente: hoy es secundaria, pero ganará peso si las relaciones potenciales se materializan.",IF(AND(G69&lt;-2,H69&lt;-2),"Su importancia aparente en la lectura directa no se sostiene ni por vía indirecta ni potencial.","Comportamiento estable en las distintas clasificaciones.")))))</f>
        <v/>
      </c>
    </row>
    <row r="70" spans="1:12" x14ac:dyDescent="0.2">
      <c r="A70" s="6" t="str">
        <f>IF(_motor!$B$650=0,"",'02 · Variables'!$B$71)</f>
        <v/>
      </c>
      <c r="B70" s="2" t="str">
        <f>IF(_motor!$B$650=0,"",'02 · Variables'!$C$71)</f>
        <v/>
      </c>
      <c r="C70" s="7" t="str">
        <f>IF(_motor!$B$650=0,"",SUMPRODUCT(_motor!$B$586:$B$665*(_motor!$C$586:$C$665&gt;_motor!$C$650))+(SUMPRODUCT(_motor!$B$586:$B$665*(_motor!$C$586:$C$665=_motor!$C$650))+1)/2)</f>
        <v/>
      </c>
      <c r="D70" s="7" t="str">
        <f>IF(_motor!$B$650=0,"",SUMPRODUCT(_motor!$B$586:$B$665*(_motor!$E$586:$E$665&gt;_motor!$E$650))+(SUMPRODUCT(_motor!$B$586:$B$665*(_motor!$E$586:$E$665=_motor!$E$650))+1)/2)</f>
        <v/>
      </c>
      <c r="E70" s="7" t="str">
        <f>IF(_motor!$B$650=0,"",SUMPRODUCT(_motor!$B$586:$B$665*(_motor!$G$586:$G$665&gt;_motor!$G$650))+(SUMPRODUCT(_motor!$B$586:$B$665*(_motor!$G$586:$G$665=_motor!$G$650))+1)/2)</f>
        <v/>
      </c>
      <c r="F70" s="7" t="str">
        <f>IF(_motor!$B$650=0,"",SUMPRODUCT(_motor!$B$586:$B$665*(_motor!$I$586:$I$665&gt;_motor!$I$650))+(SUMPRODUCT(_motor!$B$586:$B$665*(_motor!$I$586:$I$665=_motor!$I$650))+1)/2)</f>
        <v/>
      </c>
      <c r="G70" s="7" t="str">
        <f>IF(_motor!$B$650=0,"",C70-D70)</f>
        <v/>
      </c>
      <c r="H70" s="7" t="str">
        <f>IF(_motor!$B$650=0,"",C70-E70)</f>
        <v/>
      </c>
      <c r="I70" s="2" t="str">
        <f>IF(_motor!$B$650=0,"",IF(AND(ABS(_motor!$C$650-_motor!$B$668)&lt;=_motor!$B$676+0.000000001,ABS(_motor!$D$650-_motor!$B$668)&lt;=_motor!$B$676+0.000000001),"5 · Pelotón (no concluyente)",IF(AND(_motor!$C$650&gt;=_motor!$B$668,_motor!$D$650&lt;_motor!$B$668),"1 · Entrada / determinante",IF(AND(_motor!$C$650&gt;=_motor!$B$668,_motor!$D$650&gt;=_motor!$B$668),"2 · Intermedia / de enlace",IF(AND(_motor!$C$650&lt;_motor!$B$668,_motor!$D$650&gt;=_motor!$B$668),"3 · Resultado","4 · Excluida / autónoma")))))</f>
        <v/>
      </c>
      <c r="J70" s="2" t="str">
        <f>IF(_motor!$B$650=0,"",IF(AND(ABS(_motor!$I$650-_motor!$B$671)&lt;=_motor!$B$679+0.000000001,ABS(_motor!$J$650-_motor!$B$671)&lt;=_motor!$B$679+0.000000001),"5 · Pelotón (no concluyente)",IF(AND(_motor!$I$650&gt;=_motor!$B$671,_motor!$J$650&lt;_motor!$B$671),"1 · Entrada / determinante",IF(AND(_motor!$I$650&gt;=_motor!$B$671,_motor!$J$650&gt;=_motor!$B$671),"2 · Intermedia / de enlace",IF(AND(_motor!$I$650&lt;_motor!$B$671,_motor!$J$650&gt;=_motor!$B$671),"3 · Resultado","4 · Excluida / autónoma")))))</f>
        <v/>
      </c>
      <c r="K70" s="7" t="str">
        <f>IF(_motor!$B$650=0,"",IF(LEFT(I70,1)=LEFT(J70,1),"No","SÍ"))</f>
        <v/>
      </c>
      <c r="L70" s="2" t="str">
        <f>IF(_motor!$B$650=0,"",IF(AND(G70&gt;2,H70&gt;2),"Variable oculta y además latente: su peso real está muy infravalorado en la lectura directa. Prioridad máxima de seguimiento.",IF(G70&gt;2,"Variable oculta: gobierna el sistema a través de cadenas indirectas.",IF(H70&gt;2,"Variable latente: hoy es secundaria, pero ganará peso si las relaciones potenciales se materializan.",IF(AND(G70&lt;-2,H70&lt;-2),"Su importancia aparente en la lectura directa no se sostiene ni por vía indirecta ni potencial.","Comportamiento estable en las distintas clasificaciones.")))))</f>
        <v/>
      </c>
    </row>
    <row r="71" spans="1:12" x14ac:dyDescent="0.2">
      <c r="A71" s="6" t="str">
        <f>IF(_motor!$B$651=0,"",'02 · Variables'!$B$72)</f>
        <v/>
      </c>
      <c r="B71" s="2" t="str">
        <f>IF(_motor!$B$651=0,"",'02 · Variables'!$C$72)</f>
        <v/>
      </c>
      <c r="C71" s="7" t="str">
        <f>IF(_motor!$B$651=0,"",SUMPRODUCT(_motor!$B$586:$B$665*(_motor!$C$586:$C$665&gt;_motor!$C$651))+(SUMPRODUCT(_motor!$B$586:$B$665*(_motor!$C$586:$C$665=_motor!$C$651))+1)/2)</f>
        <v/>
      </c>
      <c r="D71" s="7" t="str">
        <f>IF(_motor!$B$651=0,"",SUMPRODUCT(_motor!$B$586:$B$665*(_motor!$E$586:$E$665&gt;_motor!$E$651))+(SUMPRODUCT(_motor!$B$586:$B$665*(_motor!$E$586:$E$665=_motor!$E$651))+1)/2)</f>
        <v/>
      </c>
      <c r="E71" s="7" t="str">
        <f>IF(_motor!$B$651=0,"",SUMPRODUCT(_motor!$B$586:$B$665*(_motor!$G$586:$G$665&gt;_motor!$G$651))+(SUMPRODUCT(_motor!$B$586:$B$665*(_motor!$G$586:$G$665=_motor!$G$651))+1)/2)</f>
        <v/>
      </c>
      <c r="F71" s="7" t="str">
        <f>IF(_motor!$B$651=0,"",SUMPRODUCT(_motor!$B$586:$B$665*(_motor!$I$586:$I$665&gt;_motor!$I$651))+(SUMPRODUCT(_motor!$B$586:$B$665*(_motor!$I$586:$I$665=_motor!$I$651))+1)/2)</f>
        <v/>
      </c>
      <c r="G71" s="7" t="str">
        <f>IF(_motor!$B$651=0,"",C71-D71)</f>
        <v/>
      </c>
      <c r="H71" s="7" t="str">
        <f>IF(_motor!$B$651=0,"",C71-E71)</f>
        <v/>
      </c>
      <c r="I71" s="2" t="str">
        <f>IF(_motor!$B$651=0,"",IF(AND(ABS(_motor!$C$651-_motor!$B$668)&lt;=_motor!$B$676+0.000000001,ABS(_motor!$D$651-_motor!$B$668)&lt;=_motor!$B$676+0.000000001),"5 · Pelotón (no concluyente)",IF(AND(_motor!$C$651&gt;=_motor!$B$668,_motor!$D$651&lt;_motor!$B$668),"1 · Entrada / determinante",IF(AND(_motor!$C$651&gt;=_motor!$B$668,_motor!$D$651&gt;=_motor!$B$668),"2 · Intermedia / de enlace",IF(AND(_motor!$C$651&lt;_motor!$B$668,_motor!$D$651&gt;=_motor!$B$668),"3 · Resultado","4 · Excluida / autónoma")))))</f>
        <v/>
      </c>
      <c r="J71" s="2" t="str">
        <f>IF(_motor!$B$651=0,"",IF(AND(ABS(_motor!$I$651-_motor!$B$671)&lt;=_motor!$B$679+0.000000001,ABS(_motor!$J$651-_motor!$B$671)&lt;=_motor!$B$679+0.000000001),"5 · Pelotón (no concluyente)",IF(AND(_motor!$I$651&gt;=_motor!$B$671,_motor!$J$651&lt;_motor!$B$671),"1 · Entrada / determinante",IF(AND(_motor!$I$651&gt;=_motor!$B$671,_motor!$J$651&gt;=_motor!$B$671),"2 · Intermedia / de enlace",IF(AND(_motor!$I$651&lt;_motor!$B$671,_motor!$J$651&gt;=_motor!$B$671),"3 · Resultado","4 · Excluida / autónoma")))))</f>
        <v/>
      </c>
      <c r="K71" s="7" t="str">
        <f>IF(_motor!$B$651=0,"",IF(LEFT(I71,1)=LEFT(J71,1),"No","SÍ"))</f>
        <v/>
      </c>
      <c r="L71" s="2" t="str">
        <f>IF(_motor!$B$651=0,"",IF(AND(G71&gt;2,H71&gt;2),"Variable oculta y además latente: su peso real está muy infravalorado en la lectura directa. Prioridad máxima de seguimiento.",IF(G71&gt;2,"Variable oculta: gobierna el sistema a través de cadenas indirectas.",IF(H71&gt;2,"Variable latente: hoy es secundaria, pero ganará peso si las relaciones potenciales se materializan.",IF(AND(G71&lt;-2,H71&lt;-2),"Su importancia aparente en la lectura directa no se sostiene ni por vía indirecta ni potencial.","Comportamiento estable en las distintas clasificaciones.")))))</f>
        <v/>
      </c>
    </row>
    <row r="72" spans="1:12" x14ac:dyDescent="0.2">
      <c r="A72" s="6" t="str">
        <f>IF(_motor!$B$652=0,"",'02 · Variables'!$B$73)</f>
        <v/>
      </c>
      <c r="B72" s="2" t="str">
        <f>IF(_motor!$B$652=0,"",'02 · Variables'!$C$73)</f>
        <v/>
      </c>
      <c r="C72" s="7" t="str">
        <f>IF(_motor!$B$652=0,"",SUMPRODUCT(_motor!$B$586:$B$665*(_motor!$C$586:$C$665&gt;_motor!$C$652))+(SUMPRODUCT(_motor!$B$586:$B$665*(_motor!$C$586:$C$665=_motor!$C$652))+1)/2)</f>
        <v/>
      </c>
      <c r="D72" s="7" t="str">
        <f>IF(_motor!$B$652=0,"",SUMPRODUCT(_motor!$B$586:$B$665*(_motor!$E$586:$E$665&gt;_motor!$E$652))+(SUMPRODUCT(_motor!$B$586:$B$665*(_motor!$E$586:$E$665=_motor!$E$652))+1)/2)</f>
        <v/>
      </c>
      <c r="E72" s="7" t="str">
        <f>IF(_motor!$B$652=0,"",SUMPRODUCT(_motor!$B$586:$B$665*(_motor!$G$586:$G$665&gt;_motor!$G$652))+(SUMPRODUCT(_motor!$B$586:$B$665*(_motor!$G$586:$G$665=_motor!$G$652))+1)/2)</f>
        <v/>
      </c>
      <c r="F72" s="7" t="str">
        <f>IF(_motor!$B$652=0,"",SUMPRODUCT(_motor!$B$586:$B$665*(_motor!$I$586:$I$665&gt;_motor!$I$652))+(SUMPRODUCT(_motor!$B$586:$B$665*(_motor!$I$586:$I$665=_motor!$I$652))+1)/2)</f>
        <v/>
      </c>
      <c r="G72" s="7" t="str">
        <f>IF(_motor!$B$652=0,"",C72-D72)</f>
        <v/>
      </c>
      <c r="H72" s="7" t="str">
        <f>IF(_motor!$B$652=0,"",C72-E72)</f>
        <v/>
      </c>
      <c r="I72" s="2" t="str">
        <f>IF(_motor!$B$652=0,"",IF(AND(ABS(_motor!$C$652-_motor!$B$668)&lt;=_motor!$B$676+0.000000001,ABS(_motor!$D$652-_motor!$B$668)&lt;=_motor!$B$676+0.000000001),"5 · Pelotón (no concluyente)",IF(AND(_motor!$C$652&gt;=_motor!$B$668,_motor!$D$652&lt;_motor!$B$668),"1 · Entrada / determinante",IF(AND(_motor!$C$652&gt;=_motor!$B$668,_motor!$D$652&gt;=_motor!$B$668),"2 · Intermedia / de enlace",IF(AND(_motor!$C$652&lt;_motor!$B$668,_motor!$D$652&gt;=_motor!$B$668),"3 · Resultado","4 · Excluida / autónoma")))))</f>
        <v/>
      </c>
      <c r="J72" s="2" t="str">
        <f>IF(_motor!$B$652=0,"",IF(AND(ABS(_motor!$I$652-_motor!$B$671)&lt;=_motor!$B$679+0.000000001,ABS(_motor!$J$652-_motor!$B$671)&lt;=_motor!$B$679+0.000000001),"5 · Pelotón (no concluyente)",IF(AND(_motor!$I$652&gt;=_motor!$B$671,_motor!$J$652&lt;_motor!$B$671),"1 · Entrada / determinante",IF(AND(_motor!$I$652&gt;=_motor!$B$671,_motor!$J$652&gt;=_motor!$B$671),"2 · Intermedia / de enlace",IF(AND(_motor!$I$652&lt;_motor!$B$671,_motor!$J$652&gt;=_motor!$B$671),"3 · Resultado","4 · Excluida / autónoma")))))</f>
        <v/>
      </c>
      <c r="K72" s="7" t="str">
        <f>IF(_motor!$B$652=0,"",IF(LEFT(I72,1)=LEFT(J72,1),"No","SÍ"))</f>
        <v/>
      </c>
      <c r="L72" s="2" t="str">
        <f>IF(_motor!$B$652=0,"",IF(AND(G72&gt;2,H72&gt;2),"Variable oculta y además latente: su peso real está muy infravalorado en la lectura directa. Prioridad máxima de seguimiento.",IF(G72&gt;2,"Variable oculta: gobierna el sistema a través de cadenas indirectas.",IF(H72&gt;2,"Variable latente: hoy es secundaria, pero ganará peso si las relaciones potenciales se materializan.",IF(AND(G72&lt;-2,H72&lt;-2),"Su importancia aparente en la lectura directa no se sostiene ni por vía indirecta ni potencial.","Comportamiento estable en las distintas clasificaciones.")))))</f>
        <v/>
      </c>
    </row>
    <row r="73" spans="1:12" x14ac:dyDescent="0.2">
      <c r="A73" s="6" t="str">
        <f>IF(_motor!$B$653=0,"",'02 · Variables'!$B$74)</f>
        <v/>
      </c>
      <c r="B73" s="2" t="str">
        <f>IF(_motor!$B$653=0,"",'02 · Variables'!$C$74)</f>
        <v/>
      </c>
      <c r="C73" s="7" t="str">
        <f>IF(_motor!$B$653=0,"",SUMPRODUCT(_motor!$B$586:$B$665*(_motor!$C$586:$C$665&gt;_motor!$C$653))+(SUMPRODUCT(_motor!$B$586:$B$665*(_motor!$C$586:$C$665=_motor!$C$653))+1)/2)</f>
        <v/>
      </c>
      <c r="D73" s="7" t="str">
        <f>IF(_motor!$B$653=0,"",SUMPRODUCT(_motor!$B$586:$B$665*(_motor!$E$586:$E$665&gt;_motor!$E$653))+(SUMPRODUCT(_motor!$B$586:$B$665*(_motor!$E$586:$E$665=_motor!$E$653))+1)/2)</f>
        <v/>
      </c>
      <c r="E73" s="7" t="str">
        <f>IF(_motor!$B$653=0,"",SUMPRODUCT(_motor!$B$586:$B$665*(_motor!$G$586:$G$665&gt;_motor!$G$653))+(SUMPRODUCT(_motor!$B$586:$B$665*(_motor!$G$586:$G$665=_motor!$G$653))+1)/2)</f>
        <v/>
      </c>
      <c r="F73" s="7" t="str">
        <f>IF(_motor!$B$653=0,"",SUMPRODUCT(_motor!$B$586:$B$665*(_motor!$I$586:$I$665&gt;_motor!$I$653))+(SUMPRODUCT(_motor!$B$586:$B$665*(_motor!$I$586:$I$665=_motor!$I$653))+1)/2)</f>
        <v/>
      </c>
      <c r="G73" s="7" t="str">
        <f>IF(_motor!$B$653=0,"",C73-D73)</f>
        <v/>
      </c>
      <c r="H73" s="7" t="str">
        <f>IF(_motor!$B$653=0,"",C73-E73)</f>
        <v/>
      </c>
      <c r="I73" s="2" t="str">
        <f>IF(_motor!$B$653=0,"",IF(AND(ABS(_motor!$C$653-_motor!$B$668)&lt;=_motor!$B$676+0.000000001,ABS(_motor!$D$653-_motor!$B$668)&lt;=_motor!$B$676+0.000000001),"5 · Pelotón (no concluyente)",IF(AND(_motor!$C$653&gt;=_motor!$B$668,_motor!$D$653&lt;_motor!$B$668),"1 · Entrada / determinante",IF(AND(_motor!$C$653&gt;=_motor!$B$668,_motor!$D$653&gt;=_motor!$B$668),"2 · Intermedia / de enlace",IF(AND(_motor!$C$653&lt;_motor!$B$668,_motor!$D$653&gt;=_motor!$B$668),"3 · Resultado","4 · Excluida / autónoma")))))</f>
        <v/>
      </c>
      <c r="J73" s="2" t="str">
        <f>IF(_motor!$B$653=0,"",IF(AND(ABS(_motor!$I$653-_motor!$B$671)&lt;=_motor!$B$679+0.000000001,ABS(_motor!$J$653-_motor!$B$671)&lt;=_motor!$B$679+0.000000001),"5 · Pelotón (no concluyente)",IF(AND(_motor!$I$653&gt;=_motor!$B$671,_motor!$J$653&lt;_motor!$B$671),"1 · Entrada / determinante",IF(AND(_motor!$I$653&gt;=_motor!$B$671,_motor!$J$653&gt;=_motor!$B$671),"2 · Intermedia / de enlace",IF(AND(_motor!$I$653&lt;_motor!$B$671,_motor!$J$653&gt;=_motor!$B$671),"3 · Resultado","4 · Excluida / autónoma")))))</f>
        <v/>
      </c>
      <c r="K73" s="7" t="str">
        <f>IF(_motor!$B$653=0,"",IF(LEFT(I73,1)=LEFT(J73,1),"No","SÍ"))</f>
        <v/>
      </c>
      <c r="L73" s="2" t="str">
        <f>IF(_motor!$B$653=0,"",IF(AND(G73&gt;2,H73&gt;2),"Variable oculta y además latente: su peso real está muy infravalorado en la lectura directa. Prioridad máxima de seguimiento.",IF(G73&gt;2,"Variable oculta: gobierna el sistema a través de cadenas indirectas.",IF(H73&gt;2,"Variable latente: hoy es secundaria, pero ganará peso si las relaciones potenciales se materializan.",IF(AND(G73&lt;-2,H73&lt;-2),"Su importancia aparente en la lectura directa no se sostiene ni por vía indirecta ni potencial.","Comportamiento estable en las distintas clasificaciones.")))))</f>
        <v/>
      </c>
    </row>
    <row r="74" spans="1:12" x14ac:dyDescent="0.2">
      <c r="A74" s="6" t="str">
        <f>IF(_motor!$B$654=0,"",'02 · Variables'!$B$75)</f>
        <v/>
      </c>
      <c r="B74" s="2" t="str">
        <f>IF(_motor!$B$654=0,"",'02 · Variables'!$C$75)</f>
        <v/>
      </c>
      <c r="C74" s="7" t="str">
        <f>IF(_motor!$B$654=0,"",SUMPRODUCT(_motor!$B$586:$B$665*(_motor!$C$586:$C$665&gt;_motor!$C$654))+(SUMPRODUCT(_motor!$B$586:$B$665*(_motor!$C$586:$C$665=_motor!$C$654))+1)/2)</f>
        <v/>
      </c>
      <c r="D74" s="7" t="str">
        <f>IF(_motor!$B$654=0,"",SUMPRODUCT(_motor!$B$586:$B$665*(_motor!$E$586:$E$665&gt;_motor!$E$654))+(SUMPRODUCT(_motor!$B$586:$B$665*(_motor!$E$586:$E$665=_motor!$E$654))+1)/2)</f>
        <v/>
      </c>
      <c r="E74" s="7" t="str">
        <f>IF(_motor!$B$654=0,"",SUMPRODUCT(_motor!$B$586:$B$665*(_motor!$G$586:$G$665&gt;_motor!$G$654))+(SUMPRODUCT(_motor!$B$586:$B$665*(_motor!$G$586:$G$665=_motor!$G$654))+1)/2)</f>
        <v/>
      </c>
      <c r="F74" s="7" t="str">
        <f>IF(_motor!$B$654=0,"",SUMPRODUCT(_motor!$B$586:$B$665*(_motor!$I$586:$I$665&gt;_motor!$I$654))+(SUMPRODUCT(_motor!$B$586:$B$665*(_motor!$I$586:$I$665=_motor!$I$654))+1)/2)</f>
        <v/>
      </c>
      <c r="G74" s="7" t="str">
        <f>IF(_motor!$B$654=0,"",C74-D74)</f>
        <v/>
      </c>
      <c r="H74" s="7" t="str">
        <f>IF(_motor!$B$654=0,"",C74-E74)</f>
        <v/>
      </c>
      <c r="I74" s="2" t="str">
        <f>IF(_motor!$B$654=0,"",IF(AND(ABS(_motor!$C$654-_motor!$B$668)&lt;=_motor!$B$676+0.000000001,ABS(_motor!$D$654-_motor!$B$668)&lt;=_motor!$B$676+0.000000001),"5 · Pelotón (no concluyente)",IF(AND(_motor!$C$654&gt;=_motor!$B$668,_motor!$D$654&lt;_motor!$B$668),"1 · Entrada / determinante",IF(AND(_motor!$C$654&gt;=_motor!$B$668,_motor!$D$654&gt;=_motor!$B$668),"2 · Intermedia / de enlace",IF(AND(_motor!$C$654&lt;_motor!$B$668,_motor!$D$654&gt;=_motor!$B$668),"3 · Resultado","4 · Excluida / autónoma")))))</f>
        <v/>
      </c>
      <c r="J74" s="2" t="str">
        <f>IF(_motor!$B$654=0,"",IF(AND(ABS(_motor!$I$654-_motor!$B$671)&lt;=_motor!$B$679+0.000000001,ABS(_motor!$J$654-_motor!$B$671)&lt;=_motor!$B$679+0.000000001),"5 · Pelotón (no concluyente)",IF(AND(_motor!$I$654&gt;=_motor!$B$671,_motor!$J$654&lt;_motor!$B$671),"1 · Entrada / determinante",IF(AND(_motor!$I$654&gt;=_motor!$B$671,_motor!$J$654&gt;=_motor!$B$671),"2 · Intermedia / de enlace",IF(AND(_motor!$I$654&lt;_motor!$B$671,_motor!$J$654&gt;=_motor!$B$671),"3 · Resultado","4 · Excluida / autónoma")))))</f>
        <v/>
      </c>
      <c r="K74" s="7" t="str">
        <f>IF(_motor!$B$654=0,"",IF(LEFT(I74,1)=LEFT(J74,1),"No","SÍ"))</f>
        <v/>
      </c>
      <c r="L74" s="2" t="str">
        <f>IF(_motor!$B$654=0,"",IF(AND(G74&gt;2,H74&gt;2),"Variable oculta y además latente: su peso real está muy infravalorado en la lectura directa. Prioridad máxima de seguimiento.",IF(G74&gt;2,"Variable oculta: gobierna el sistema a través de cadenas indirectas.",IF(H74&gt;2,"Variable latente: hoy es secundaria, pero ganará peso si las relaciones potenciales se materializan.",IF(AND(G74&lt;-2,H74&lt;-2),"Su importancia aparente en la lectura directa no se sostiene ni por vía indirecta ni potencial.","Comportamiento estable en las distintas clasificaciones.")))))</f>
        <v/>
      </c>
    </row>
    <row r="75" spans="1:12" x14ac:dyDescent="0.2">
      <c r="A75" s="6" t="str">
        <f>IF(_motor!$B$655=0,"",'02 · Variables'!$B$76)</f>
        <v/>
      </c>
      <c r="B75" s="2" t="str">
        <f>IF(_motor!$B$655=0,"",'02 · Variables'!$C$76)</f>
        <v/>
      </c>
      <c r="C75" s="7" t="str">
        <f>IF(_motor!$B$655=0,"",SUMPRODUCT(_motor!$B$586:$B$665*(_motor!$C$586:$C$665&gt;_motor!$C$655))+(SUMPRODUCT(_motor!$B$586:$B$665*(_motor!$C$586:$C$665=_motor!$C$655))+1)/2)</f>
        <v/>
      </c>
      <c r="D75" s="7" t="str">
        <f>IF(_motor!$B$655=0,"",SUMPRODUCT(_motor!$B$586:$B$665*(_motor!$E$586:$E$665&gt;_motor!$E$655))+(SUMPRODUCT(_motor!$B$586:$B$665*(_motor!$E$586:$E$665=_motor!$E$655))+1)/2)</f>
        <v/>
      </c>
      <c r="E75" s="7" t="str">
        <f>IF(_motor!$B$655=0,"",SUMPRODUCT(_motor!$B$586:$B$665*(_motor!$G$586:$G$665&gt;_motor!$G$655))+(SUMPRODUCT(_motor!$B$586:$B$665*(_motor!$G$586:$G$665=_motor!$G$655))+1)/2)</f>
        <v/>
      </c>
      <c r="F75" s="7" t="str">
        <f>IF(_motor!$B$655=0,"",SUMPRODUCT(_motor!$B$586:$B$665*(_motor!$I$586:$I$665&gt;_motor!$I$655))+(SUMPRODUCT(_motor!$B$586:$B$665*(_motor!$I$586:$I$665=_motor!$I$655))+1)/2)</f>
        <v/>
      </c>
      <c r="G75" s="7" t="str">
        <f>IF(_motor!$B$655=0,"",C75-D75)</f>
        <v/>
      </c>
      <c r="H75" s="7" t="str">
        <f>IF(_motor!$B$655=0,"",C75-E75)</f>
        <v/>
      </c>
      <c r="I75" s="2" t="str">
        <f>IF(_motor!$B$655=0,"",IF(AND(ABS(_motor!$C$655-_motor!$B$668)&lt;=_motor!$B$676+0.000000001,ABS(_motor!$D$655-_motor!$B$668)&lt;=_motor!$B$676+0.000000001),"5 · Pelotón (no concluyente)",IF(AND(_motor!$C$655&gt;=_motor!$B$668,_motor!$D$655&lt;_motor!$B$668),"1 · Entrada / determinante",IF(AND(_motor!$C$655&gt;=_motor!$B$668,_motor!$D$655&gt;=_motor!$B$668),"2 · Intermedia / de enlace",IF(AND(_motor!$C$655&lt;_motor!$B$668,_motor!$D$655&gt;=_motor!$B$668),"3 · Resultado","4 · Excluida / autónoma")))))</f>
        <v/>
      </c>
      <c r="J75" s="2" t="str">
        <f>IF(_motor!$B$655=0,"",IF(AND(ABS(_motor!$I$655-_motor!$B$671)&lt;=_motor!$B$679+0.000000001,ABS(_motor!$J$655-_motor!$B$671)&lt;=_motor!$B$679+0.000000001),"5 · Pelotón (no concluyente)",IF(AND(_motor!$I$655&gt;=_motor!$B$671,_motor!$J$655&lt;_motor!$B$671),"1 · Entrada / determinante",IF(AND(_motor!$I$655&gt;=_motor!$B$671,_motor!$J$655&gt;=_motor!$B$671),"2 · Intermedia / de enlace",IF(AND(_motor!$I$655&lt;_motor!$B$671,_motor!$J$655&gt;=_motor!$B$671),"3 · Resultado","4 · Excluida / autónoma")))))</f>
        <v/>
      </c>
      <c r="K75" s="7" t="str">
        <f>IF(_motor!$B$655=0,"",IF(LEFT(I75,1)=LEFT(J75,1),"No","SÍ"))</f>
        <v/>
      </c>
      <c r="L75" s="2" t="str">
        <f>IF(_motor!$B$655=0,"",IF(AND(G75&gt;2,H75&gt;2),"Variable oculta y además latente: su peso real está muy infravalorado en la lectura directa. Prioridad máxima de seguimiento.",IF(G75&gt;2,"Variable oculta: gobierna el sistema a través de cadenas indirectas.",IF(H75&gt;2,"Variable latente: hoy es secundaria, pero ganará peso si las relaciones potenciales se materializan.",IF(AND(G75&lt;-2,H75&lt;-2),"Su importancia aparente en la lectura directa no se sostiene ni por vía indirecta ni potencial.","Comportamiento estable en las distintas clasificaciones.")))))</f>
        <v/>
      </c>
    </row>
    <row r="76" spans="1:12" x14ac:dyDescent="0.2">
      <c r="A76" s="6" t="str">
        <f>IF(_motor!$B$656=0,"",'02 · Variables'!$B$77)</f>
        <v/>
      </c>
      <c r="B76" s="2" t="str">
        <f>IF(_motor!$B$656=0,"",'02 · Variables'!$C$77)</f>
        <v/>
      </c>
      <c r="C76" s="7" t="str">
        <f>IF(_motor!$B$656=0,"",SUMPRODUCT(_motor!$B$586:$B$665*(_motor!$C$586:$C$665&gt;_motor!$C$656))+(SUMPRODUCT(_motor!$B$586:$B$665*(_motor!$C$586:$C$665=_motor!$C$656))+1)/2)</f>
        <v/>
      </c>
      <c r="D76" s="7" t="str">
        <f>IF(_motor!$B$656=0,"",SUMPRODUCT(_motor!$B$586:$B$665*(_motor!$E$586:$E$665&gt;_motor!$E$656))+(SUMPRODUCT(_motor!$B$586:$B$665*(_motor!$E$586:$E$665=_motor!$E$656))+1)/2)</f>
        <v/>
      </c>
      <c r="E76" s="7" t="str">
        <f>IF(_motor!$B$656=0,"",SUMPRODUCT(_motor!$B$586:$B$665*(_motor!$G$586:$G$665&gt;_motor!$G$656))+(SUMPRODUCT(_motor!$B$586:$B$665*(_motor!$G$586:$G$665=_motor!$G$656))+1)/2)</f>
        <v/>
      </c>
      <c r="F76" s="7" t="str">
        <f>IF(_motor!$B$656=0,"",SUMPRODUCT(_motor!$B$586:$B$665*(_motor!$I$586:$I$665&gt;_motor!$I$656))+(SUMPRODUCT(_motor!$B$586:$B$665*(_motor!$I$586:$I$665=_motor!$I$656))+1)/2)</f>
        <v/>
      </c>
      <c r="G76" s="7" t="str">
        <f>IF(_motor!$B$656=0,"",C76-D76)</f>
        <v/>
      </c>
      <c r="H76" s="7" t="str">
        <f>IF(_motor!$B$656=0,"",C76-E76)</f>
        <v/>
      </c>
      <c r="I76" s="2" t="str">
        <f>IF(_motor!$B$656=0,"",IF(AND(ABS(_motor!$C$656-_motor!$B$668)&lt;=_motor!$B$676+0.000000001,ABS(_motor!$D$656-_motor!$B$668)&lt;=_motor!$B$676+0.000000001),"5 · Pelotón (no concluyente)",IF(AND(_motor!$C$656&gt;=_motor!$B$668,_motor!$D$656&lt;_motor!$B$668),"1 · Entrada / determinante",IF(AND(_motor!$C$656&gt;=_motor!$B$668,_motor!$D$656&gt;=_motor!$B$668),"2 · Intermedia / de enlace",IF(AND(_motor!$C$656&lt;_motor!$B$668,_motor!$D$656&gt;=_motor!$B$668),"3 · Resultado","4 · Excluida / autónoma")))))</f>
        <v/>
      </c>
      <c r="J76" s="2" t="str">
        <f>IF(_motor!$B$656=0,"",IF(AND(ABS(_motor!$I$656-_motor!$B$671)&lt;=_motor!$B$679+0.000000001,ABS(_motor!$J$656-_motor!$B$671)&lt;=_motor!$B$679+0.000000001),"5 · Pelotón (no concluyente)",IF(AND(_motor!$I$656&gt;=_motor!$B$671,_motor!$J$656&lt;_motor!$B$671),"1 · Entrada / determinante",IF(AND(_motor!$I$656&gt;=_motor!$B$671,_motor!$J$656&gt;=_motor!$B$671),"2 · Intermedia / de enlace",IF(AND(_motor!$I$656&lt;_motor!$B$671,_motor!$J$656&gt;=_motor!$B$671),"3 · Resultado","4 · Excluida / autónoma")))))</f>
        <v/>
      </c>
      <c r="K76" s="7" t="str">
        <f>IF(_motor!$B$656=0,"",IF(LEFT(I76,1)=LEFT(J76,1),"No","SÍ"))</f>
        <v/>
      </c>
      <c r="L76" s="2" t="str">
        <f>IF(_motor!$B$656=0,"",IF(AND(G76&gt;2,H76&gt;2),"Variable oculta y además latente: su peso real está muy infravalorado en la lectura directa. Prioridad máxima de seguimiento.",IF(G76&gt;2,"Variable oculta: gobierna el sistema a través de cadenas indirectas.",IF(H76&gt;2,"Variable latente: hoy es secundaria, pero ganará peso si las relaciones potenciales se materializan.",IF(AND(G76&lt;-2,H76&lt;-2),"Su importancia aparente en la lectura directa no se sostiene ni por vía indirecta ni potencial.","Comportamiento estable en las distintas clasificaciones.")))))</f>
        <v/>
      </c>
    </row>
    <row r="77" spans="1:12" x14ac:dyDescent="0.2">
      <c r="A77" s="6" t="str">
        <f>IF(_motor!$B$657=0,"",'02 · Variables'!$B$78)</f>
        <v/>
      </c>
      <c r="B77" s="2" t="str">
        <f>IF(_motor!$B$657=0,"",'02 · Variables'!$C$78)</f>
        <v/>
      </c>
      <c r="C77" s="7" t="str">
        <f>IF(_motor!$B$657=0,"",SUMPRODUCT(_motor!$B$586:$B$665*(_motor!$C$586:$C$665&gt;_motor!$C$657))+(SUMPRODUCT(_motor!$B$586:$B$665*(_motor!$C$586:$C$665=_motor!$C$657))+1)/2)</f>
        <v/>
      </c>
      <c r="D77" s="7" t="str">
        <f>IF(_motor!$B$657=0,"",SUMPRODUCT(_motor!$B$586:$B$665*(_motor!$E$586:$E$665&gt;_motor!$E$657))+(SUMPRODUCT(_motor!$B$586:$B$665*(_motor!$E$586:$E$665=_motor!$E$657))+1)/2)</f>
        <v/>
      </c>
      <c r="E77" s="7" t="str">
        <f>IF(_motor!$B$657=0,"",SUMPRODUCT(_motor!$B$586:$B$665*(_motor!$G$586:$G$665&gt;_motor!$G$657))+(SUMPRODUCT(_motor!$B$586:$B$665*(_motor!$G$586:$G$665=_motor!$G$657))+1)/2)</f>
        <v/>
      </c>
      <c r="F77" s="7" t="str">
        <f>IF(_motor!$B$657=0,"",SUMPRODUCT(_motor!$B$586:$B$665*(_motor!$I$586:$I$665&gt;_motor!$I$657))+(SUMPRODUCT(_motor!$B$586:$B$665*(_motor!$I$586:$I$665=_motor!$I$657))+1)/2)</f>
        <v/>
      </c>
      <c r="G77" s="7" t="str">
        <f>IF(_motor!$B$657=0,"",C77-D77)</f>
        <v/>
      </c>
      <c r="H77" s="7" t="str">
        <f>IF(_motor!$B$657=0,"",C77-E77)</f>
        <v/>
      </c>
      <c r="I77" s="2" t="str">
        <f>IF(_motor!$B$657=0,"",IF(AND(ABS(_motor!$C$657-_motor!$B$668)&lt;=_motor!$B$676+0.000000001,ABS(_motor!$D$657-_motor!$B$668)&lt;=_motor!$B$676+0.000000001),"5 · Pelotón (no concluyente)",IF(AND(_motor!$C$657&gt;=_motor!$B$668,_motor!$D$657&lt;_motor!$B$668),"1 · Entrada / determinante",IF(AND(_motor!$C$657&gt;=_motor!$B$668,_motor!$D$657&gt;=_motor!$B$668),"2 · Intermedia / de enlace",IF(AND(_motor!$C$657&lt;_motor!$B$668,_motor!$D$657&gt;=_motor!$B$668),"3 · Resultado","4 · Excluida / autónoma")))))</f>
        <v/>
      </c>
      <c r="J77" s="2" t="str">
        <f>IF(_motor!$B$657=0,"",IF(AND(ABS(_motor!$I$657-_motor!$B$671)&lt;=_motor!$B$679+0.000000001,ABS(_motor!$J$657-_motor!$B$671)&lt;=_motor!$B$679+0.000000001),"5 · Pelotón (no concluyente)",IF(AND(_motor!$I$657&gt;=_motor!$B$671,_motor!$J$657&lt;_motor!$B$671),"1 · Entrada / determinante",IF(AND(_motor!$I$657&gt;=_motor!$B$671,_motor!$J$657&gt;=_motor!$B$671),"2 · Intermedia / de enlace",IF(AND(_motor!$I$657&lt;_motor!$B$671,_motor!$J$657&gt;=_motor!$B$671),"3 · Resultado","4 · Excluida / autónoma")))))</f>
        <v/>
      </c>
      <c r="K77" s="7" t="str">
        <f>IF(_motor!$B$657=0,"",IF(LEFT(I77,1)=LEFT(J77,1),"No","SÍ"))</f>
        <v/>
      </c>
      <c r="L77" s="2" t="str">
        <f>IF(_motor!$B$657=0,"",IF(AND(G77&gt;2,H77&gt;2),"Variable oculta y además latente: su peso real está muy infravalorado en la lectura directa. Prioridad máxima de seguimiento.",IF(G77&gt;2,"Variable oculta: gobierna el sistema a través de cadenas indirectas.",IF(H77&gt;2,"Variable latente: hoy es secundaria, pero ganará peso si las relaciones potenciales se materializan.",IF(AND(G77&lt;-2,H77&lt;-2),"Su importancia aparente en la lectura directa no se sostiene ni por vía indirecta ni potencial.","Comportamiento estable en las distintas clasificaciones.")))))</f>
        <v/>
      </c>
    </row>
    <row r="78" spans="1:12" x14ac:dyDescent="0.2">
      <c r="A78" s="6" t="str">
        <f>IF(_motor!$B$658=0,"",'02 · Variables'!$B$79)</f>
        <v/>
      </c>
      <c r="B78" s="2" t="str">
        <f>IF(_motor!$B$658=0,"",'02 · Variables'!$C$79)</f>
        <v/>
      </c>
      <c r="C78" s="7" t="str">
        <f>IF(_motor!$B$658=0,"",SUMPRODUCT(_motor!$B$586:$B$665*(_motor!$C$586:$C$665&gt;_motor!$C$658))+(SUMPRODUCT(_motor!$B$586:$B$665*(_motor!$C$586:$C$665=_motor!$C$658))+1)/2)</f>
        <v/>
      </c>
      <c r="D78" s="7" t="str">
        <f>IF(_motor!$B$658=0,"",SUMPRODUCT(_motor!$B$586:$B$665*(_motor!$E$586:$E$665&gt;_motor!$E$658))+(SUMPRODUCT(_motor!$B$586:$B$665*(_motor!$E$586:$E$665=_motor!$E$658))+1)/2)</f>
        <v/>
      </c>
      <c r="E78" s="7" t="str">
        <f>IF(_motor!$B$658=0,"",SUMPRODUCT(_motor!$B$586:$B$665*(_motor!$G$586:$G$665&gt;_motor!$G$658))+(SUMPRODUCT(_motor!$B$586:$B$665*(_motor!$G$586:$G$665=_motor!$G$658))+1)/2)</f>
        <v/>
      </c>
      <c r="F78" s="7" t="str">
        <f>IF(_motor!$B$658=0,"",SUMPRODUCT(_motor!$B$586:$B$665*(_motor!$I$586:$I$665&gt;_motor!$I$658))+(SUMPRODUCT(_motor!$B$586:$B$665*(_motor!$I$586:$I$665=_motor!$I$658))+1)/2)</f>
        <v/>
      </c>
      <c r="G78" s="7" t="str">
        <f>IF(_motor!$B$658=0,"",C78-D78)</f>
        <v/>
      </c>
      <c r="H78" s="7" t="str">
        <f>IF(_motor!$B$658=0,"",C78-E78)</f>
        <v/>
      </c>
      <c r="I78" s="2" t="str">
        <f>IF(_motor!$B$658=0,"",IF(AND(ABS(_motor!$C$658-_motor!$B$668)&lt;=_motor!$B$676+0.000000001,ABS(_motor!$D$658-_motor!$B$668)&lt;=_motor!$B$676+0.000000001),"5 · Pelotón (no concluyente)",IF(AND(_motor!$C$658&gt;=_motor!$B$668,_motor!$D$658&lt;_motor!$B$668),"1 · Entrada / determinante",IF(AND(_motor!$C$658&gt;=_motor!$B$668,_motor!$D$658&gt;=_motor!$B$668),"2 · Intermedia / de enlace",IF(AND(_motor!$C$658&lt;_motor!$B$668,_motor!$D$658&gt;=_motor!$B$668),"3 · Resultado","4 · Excluida / autónoma")))))</f>
        <v/>
      </c>
      <c r="J78" s="2" t="str">
        <f>IF(_motor!$B$658=0,"",IF(AND(ABS(_motor!$I$658-_motor!$B$671)&lt;=_motor!$B$679+0.000000001,ABS(_motor!$J$658-_motor!$B$671)&lt;=_motor!$B$679+0.000000001),"5 · Pelotón (no concluyente)",IF(AND(_motor!$I$658&gt;=_motor!$B$671,_motor!$J$658&lt;_motor!$B$671),"1 · Entrada / determinante",IF(AND(_motor!$I$658&gt;=_motor!$B$671,_motor!$J$658&gt;=_motor!$B$671),"2 · Intermedia / de enlace",IF(AND(_motor!$I$658&lt;_motor!$B$671,_motor!$J$658&gt;=_motor!$B$671),"3 · Resultado","4 · Excluida / autónoma")))))</f>
        <v/>
      </c>
      <c r="K78" s="7" t="str">
        <f>IF(_motor!$B$658=0,"",IF(LEFT(I78,1)=LEFT(J78,1),"No","SÍ"))</f>
        <v/>
      </c>
      <c r="L78" s="2" t="str">
        <f>IF(_motor!$B$658=0,"",IF(AND(G78&gt;2,H78&gt;2),"Variable oculta y además latente: su peso real está muy infravalorado en la lectura directa. Prioridad máxima de seguimiento.",IF(G78&gt;2,"Variable oculta: gobierna el sistema a través de cadenas indirectas.",IF(H78&gt;2,"Variable latente: hoy es secundaria, pero ganará peso si las relaciones potenciales se materializan.",IF(AND(G78&lt;-2,H78&lt;-2),"Su importancia aparente en la lectura directa no se sostiene ni por vía indirecta ni potencial.","Comportamiento estable en las distintas clasificaciones.")))))</f>
        <v/>
      </c>
    </row>
    <row r="79" spans="1:12" x14ac:dyDescent="0.2">
      <c r="A79" s="6" t="str">
        <f>IF(_motor!$B$659=0,"",'02 · Variables'!$B$80)</f>
        <v/>
      </c>
      <c r="B79" s="2" t="str">
        <f>IF(_motor!$B$659=0,"",'02 · Variables'!$C$80)</f>
        <v/>
      </c>
      <c r="C79" s="7" t="str">
        <f>IF(_motor!$B$659=0,"",SUMPRODUCT(_motor!$B$586:$B$665*(_motor!$C$586:$C$665&gt;_motor!$C$659))+(SUMPRODUCT(_motor!$B$586:$B$665*(_motor!$C$586:$C$665=_motor!$C$659))+1)/2)</f>
        <v/>
      </c>
      <c r="D79" s="7" t="str">
        <f>IF(_motor!$B$659=0,"",SUMPRODUCT(_motor!$B$586:$B$665*(_motor!$E$586:$E$665&gt;_motor!$E$659))+(SUMPRODUCT(_motor!$B$586:$B$665*(_motor!$E$586:$E$665=_motor!$E$659))+1)/2)</f>
        <v/>
      </c>
      <c r="E79" s="7" t="str">
        <f>IF(_motor!$B$659=0,"",SUMPRODUCT(_motor!$B$586:$B$665*(_motor!$G$586:$G$665&gt;_motor!$G$659))+(SUMPRODUCT(_motor!$B$586:$B$665*(_motor!$G$586:$G$665=_motor!$G$659))+1)/2)</f>
        <v/>
      </c>
      <c r="F79" s="7" t="str">
        <f>IF(_motor!$B$659=0,"",SUMPRODUCT(_motor!$B$586:$B$665*(_motor!$I$586:$I$665&gt;_motor!$I$659))+(SUMPRODUCT(_motor!$B$586:$B$665*(_motor!$I$586:$I$665=_motor!$I$659))+1)/2)</f>
        <v/>
      </c>
      <c r="G79" s="7" t="str">
        <f>IF(_motor!$B$659=0,"",C79-D79)</f>
        <v/>
      </c>
      <c r="H79" s="7" t="str">
        <f>IF(_motor!$B$659=0,"",C79-E79)</f>
        <v/>
      </c>
      <c r="I79" s="2" t="str">
        <f>IF(_motor!$B$659=0,"",IF(AND(ABS(_motor!$C$659-_motor!$B$668)&lt;=_motor!$B$676+0.000000001,ABS(_motor!$D$659-_motor!$B$668)&lt;=_motor!$B$676+0.000000001),"5 · Pelotón (no concluyente)",IF(AND(_motor!$C$659&gt;=_motor!$B$668,_motor!$D$659&lt;_motor!$B$668),"1 · Entrada / determinante",IF(AND(_motor!$C$659&gt;=_motor!$B$668,_motor!$D$659&gt;=_motor!$B$668),"2 · Intermedia / de enlace",IF(AND(_motor!$C$659&lt;_motor!$B$668,_motor!$D$659&gt;=_motor!$B$668),"3 · Resultado","4 · Excluida / autónoma")))))</f>
        <v/>
      </c>
      <c r="J79" s="2" t="str">
        <f>IF(_motor!$B$659=0,"",IF(AND(ABS(_motor!$I$659-_motor!$B$671)&lt;=_motor!$B$679+0.000000001,ABS(_motor!$J$659-_motor!$B$671)&lt;=_motor!$B$679+0.000000001),"5 · Pelotón (no concluyente)",IF(AND(_motor!$I$659&gt;=_motor!$B$671,_motor!$J$659&lt;_motor!$B$671),"1 · Entrada / determinante",IF(AND(_motor!$I$659&gt;=_motor!$B$671,_motor!$J$659&gt;=_motor!$B$671),"2 · Intermedia / de enlace",IF(AND(_motor!$I$659&lt;_motor!$B$671,_motor!$J$659&gt;=_motor!$B$671),"3 · Resultado","4 · Excluida / autónoma")))))</f>
        <v/>
      </c>
      <c r="K79" s="7" t="str">
        <f>IF(_motor!$B$659=0,"",IF(LEFT(I79,1)=LEFT(J79,1),"No","SÍ"))</f>
        <v/>
      </c>
      <c r="L79" s="2" t="str">
        <f>IF(_motor!$B$659=0,"",IF(AND(G79&gt;2,H79&gt;2),"Variable oculta y además latente: su peso real está muy infravalorado en la lectura directa. Prioridad máxima de seguimiento.",IF(G79&gt;2,"Variable oculta: gobierna el sistema a través de cadenas indirectas.",IF(H79&gt;2,"Variable latente: hoy es secundaria, pero ganará peso si las relaciones potenciales se materializan.",IF(AND(G79&lt;-2,H79&lt;-2),"Su importancia aparente en la lectura directa no se sostiene ni por vía indirecta ni potencial.","Comportamiento estable en las distintas clasificaciones.")))))</f>
        <v/>
      </c>
    </row>
    <row r="80" spans="1:12" x14ac:dyDescent="0.2">
      <c r="A80" s="6" t="str">
        <f>IF(_motor!$B$660=0,"",'02 · Variables'!$B$81)</f>
        <v/>
      </c>
      <c r="B80" s="2" t="str">
        <f>IF(_motor!$B$660=0,"",'02 · Variables'!$C$81)</f>
        <v/>
      </c>
      <c r="C80" s="7" t="str">
        <f>IF(_motor!$B$660=0,"",SUMPRODUCT(_motor!$B$586:$B$665*(_motor!$C$586:$C$665&gt;_motor!$C$660))+(SUMPRODUCT(_motor!$B$586:$B$665*(_motor!$C$586:$C$665=_motor!$C$660))+1)/2)</f>
        <v/>
      </c>
      <c r="D80" s="7" t="str">
        <f>IF(_motor!$B$660=0,"",SUMPRODUCT(_motor!$B$586:$B$665*(_motor!$E$586:$E$665&gt;_motor!$E$660))+(SUMPRODUCT(_motor!$B$586:$B$665*(_motor!$E$586:$E$665=_motor!$E$660))+1)/2)</f>
        <v/>
      </c>
      <c r="E80" s="7" t="str">
        <f>IF(_motor!$B$660=0,"",SUMPRODUCT(_motor!$B$586:$B$665*(_motor!$G$586:$G$665&gt;_motor!$G$660))+(SUMPRODUCT(_motor!$B$586:$B$665*(_motor!$G$586:$G$665=_motor!$G$660))+1)/2)</f>
        <v/>
      </c>
      <c r="F80" s="7" t="str">
        <f>IF(_motor!$B$660=0,"",SUMPRODUCT(_motor!$B$586:$B$665*(_motor!$I$586:$I$665&gt;_motor!$I$660))+(SUMPRODUCT(_motor!$B$586:$B$665*(_motor!$I$586:$I$665=_motor!$I$660))+1)/2)</f>
        <v/>
      </c>
      <c r="G80" s="7" t="str">
        <f>IF(_motor!$B$660=0,"",C80-D80)</f>
        <v/>
      </c>
      <c r="H80" s="7" t="str">
        <f>IF(_motor!$B$660=0,"",C80-E80)</f>
        <v/>
      </c>
      <c r="I80" s="2" t="str">
        <f>IF(_motor!$B$660=0,"",IF(AND(ABS(_motor!$C$660-_motor!$B$668)&lt;=_motor!$B$676+0.000000001,ABS(_motor!$D$660-_motor!$B$668)&lt;=_motor!$B$676+0.000000001),"5 · Pelotón (no concluyente)",IF(AND(_motor!$C$660&gt;=_motor!$B$668,_motor!$D$660&lt;_motor!$B$668),"1 · Entrada / determinante",IF(AND(_motor!$C$660&gt;=_motor!$B$668,_motor!$D$660&gt;=_motor!$B$668),"2 · Intermedia / de enlace",IF(AND(_motor!$C$660&lt;_motor!$B$668,_motor!$D$660&gt;=_motor!$B$668),"3 · Resultado","4 · Excluida / autónoma")))))</f>
        <v/>
      </c>
      <c r="J80" s="2" t="str">
        <f>IF(_motor!$B$660=0,"",IF(AND(ABS(_motor!$I$660-_motor!$B$671)&lt;=_motor!$B$679+0.000000001,ABS(_motor!$J$660-_motor!$B$671)&lt;=_motor!$B$679+0.000000001),"5 · Pelotón (no concluyente)",IF(AND(_motor!$I$660&gt;=_motor!$B$671,_motor!$J$660&lt;_motor!$B$671),"1 · Entrada / determinante",IF(AND(_motor!$I$660&gt;=_motor!$B$671,_motor!$J$660&gt;=_motor!$B$671),"2 · Intermedia / de enlace",IF(AND(_motor!$I$660&lt;_motor!$B$671,_motor!$J$660&gt;=_motor!$B$671),"3 · Resultado","4 · Excluida / autónoma")))))</f>
        <v/>
      </c>
      <c r="K80" s="7" t="str">
        <f>IF(_motor!$B$660=0,"",IF(LEFT(I80,1)=LEFT(J80,1),"No","SÍ"))</f>
        <v/>
      </c>
      <c r="L80" s="2" t="str">
        <f>IF(_motor!$B$660=0,"",IF(AND(G80&gt;2,H80&gt;2),"Variable oculta y además latente: su peso real está muy infravalorado en la lectura directa. Prioridad máxima de seguimiento.",IF(G80&gt;2,"Variable oculta: gobierna el sistema a través de cadenas indirectas.",IF(H80&gt;2,"Variable latente: hoy es secundaria, pero ganará peso si las relaciones potenciales se materializan.",IF(AND(G80&lt;-2,H80&lt;-2),"Su importancia aparente en la lectura directa no se sostiene ni por vía indirecta ni potencial.","Comportamiento estable en las distintas clasificaciones.")))))</f>
        <v/>
      </c>
    </row>
    <row r="81" spans="1:12" x14ac:dyDescent="0.2">
      <c r="A81" s="6" t="str">
        <f>IF(_motor!$B$661=0,"",'02 · Variables'!$B$82)</f>
        <v/>
      </c>
      <c r="B81" s="2" t="str">
        <f>IF(_motor!$B$661=0,"",'02 · Variables'!$C$82)</f>
        <v/>
      </c>
      <c r="C81" s="7" t="str">
        <f>IF(_motor!$B$661=0,"",SUMPRODUCT(_motor!$B$586:$B$665*(_motor!$C$586:$C$665&gt;_motor!$C$661))+(SUMPRODUCT(_motor!$B$586:$B$665*(_motor!$C$586:$C$665=_motor!$C$661))+1)/2)</f>
        <v/>
      </c>
      <c r="D81" s="7" t="str">
        <f>IF(_motor!$B$661=0,"",SUMPRODUCT(_motor!$B$586:$B$665*(_motor!$E$586:$E$665&gt;_motor!$E$661))+(SUMPRODUCT(_motor!$B$586:$B$665*(_motor!$E$586:$E$665=_motor!$E$661))+1)/2)</f>
        <v/>
      </c>
      <c r="E81" s="7" t="str">
        <f>IF(_motor!$B$661=0,"",SUMPRODUCT(_motor!$B$586:$B$665*(_motor!$G$586:$G$665&gt;_motor!$G$661))+(SUMPRODUCT(_motor!$B$586:$B$665*(_motor!$G$586:$G$665=_motor!$G$661))+1)/2)</f>
        <v/>
      </c>
      <c r="F81" s="7" t="str">
        <f>IF(_motor!$B$661=0,"",SUMPRODUCT(_motor!$B$586:$B$665*(_motor!$I$586:$I$665&gt;_motor!$I$661))+(SUMPRODUCT(_motor!$B$586:$B$665*(_motor!$I$586:$I$665=_motor!$I$661))+1)/2)</f>
        <v/>
      </c>
      <c r="G81" s="7" t="str">
        <f>IF(_motor!$B$661=0,"",C81-D81)</f>
        <v/>
      </c>
      <c r="H81" s="7" t="str">
        <f>IF(_motor!$B$661=0,"",C81-E81)</f>
        <v/>
      </c>
      <c r="I81" s="2" t="str">
        <f>IF(_motor!$B$661=0,"",IF(AND(ABS(_motor!$C$661-_motor!$B$668)&lt;=_motor!$B$676+0.000000001,ABS(_motor!$D$661-_motor!$B$668)&lt;=_motor!$B$676+0.000000001),"5 · Pelotón (no concluyente)",IF(AND(_motor!$C$661&gt;=_motor!$B$668,_motor!$D$661&lt;_motor!$B$668),"1 · Entrada / determinante",IF(AND(_motor!$C$661&gt;=_motor!$B$668,_motor!$D$661&gt;=_motor!$B$668),"2 · Intermedia / de enlace",IF(AND(_motor!$C$661&lt;_motor!$B$668,_motor!$D$661&gt;=_motor!$B$668),"3 · Resultado","4 · Excluida / autónoma")))))</f>
        <v/>
      </c>
      <c r="J81" s="2" t="str">
        <f>IF(_motor!$B$661=0,"",IF(AND(ABS(_motor!$I$661-_motor!$B$671)&lt;=_motor!$B$679+0.000000001,ABS(_motor!$J$661-_motor!$B$671)&lt;=_motor!$B$679+0.000000001),"5 · Pelotón (no concluyente)",IF(AND(_motor!$I$661&gt;=_motor!$B$671,_motor!$J$661&lt;_motor!$B$671),"1 · Entrada / determinante",IF(AND(_motor!$I$661&gt;=_motor!$B$671,_motor!$J$661&gt;=_motor!$B$671),"2 · Intermedia / de enlace",IF(AND(_motor!$I$661&lt;_motor!$B$671,_motor!$J$661&gt;=_motor!$B$671),"3 · Resultado","4 · Excluida / autónoma")))))</f>
        <v/>
      </c>
      <c r="K81" s="7" t="str">
        <f>IF(_motor!$B$661=0,"",IF(LEFT(I81,1)=LEFT(J81,1),"No","SÍ"))</f>
        <v/>
      </c>
      <c r="L81" s="2" t="str">
        <f>IF(_motor!$B$661=0,"",IF(AND(G81&gt;2,H81&gt;2),"Variable oculta y además latente: su peso real está muy infravalorado en la lectura directa. Prioridad máxima de seguimiento.",IF(G81&gt;2,"Variable oculta: gobierna el sistema a través de cadenas indirectas.",IF(H81&gt;2,"Variable latente: hoy es secundaria, pero ganará peso si las relaciones potenciales se materializan.",IF(AND(G81&lt;-2,H81&lt;-2),"Su importancia aparente en la lectura directa no se sostiene ni por vía indirecta ni potencial.","Comportamiento estable en las distintas clasificaciones.")))))</f>
        <v/>
      </c>
    </row>
    <row r="82" spans="1:12" x14ac:dyDescent="0.2">
      <c r="A82" s="6" t="str">
        <f>IF(_motor!$B$662=0,"",'02 · Variables'!$B$83)</f>
        <v/>
      </c>
      <c r="B82" s="2" t="str">
        <f>IF(_motor!$B$662=0,"",'02 · Variables'!$C$83)</f>
        <v/>
      </c>
      <c r="C82" s="7" t="str">
        <f>IF(_motor!$B$662=0,"",SUMPRODUCT(_motor!$B$586:$B$665*(_motor!$C$586:$C$665&gt;_motor!$C$662))+(SUMPRODUCT(_motor!$B$586:$B$665*(_motor!$C$586:$C$665=_motor!$C$662))+1)/2)</f>
        <v/>
      </c>
      <c r="D82" s="7" t="str">
        <f>IF(_motor!$B$662=0,"",SUMPRODUCT(_motor!$B$586:$B$665*(_motor!$E$586:$E$665&gt;_motor!$E$662))+(SUMPRODUCT(_motor!$B$586:$B$665*(_motor!$E$586:$E$665=_motor!$E$662))+1)/2)</f>
        <v/>
      </c>
      <c r="E82" s="7" t="str">
        <f>IF(_motor!$B$662=0,"",SUMPRODUCT(_motor!$B$586:$B$665*(_motor!$G$586:$G$665&gt;_motor!$G$662))+(SUMPRODUCT(_motor!$B$586:$B$665*(_motor!$G$586:$G$665=_motor!$G$662))+1)/2)</f>
        <v/>
      </c>
      <c r="F82" s="7" t="str">
        <f>IF(_motor!$B$662=0,"",SUMPRODUCT(_motor!$B$586:$B$665*(_motor!$I$586:$I$665&gt;_motor!$I$662))+(SUMPRODUCT(_motor!$B$586:$B$665*(_motor!$I$586:$I$665=_motor!$I$662))+1)/2)</f>
        <v/>
      </c>
      <c r="G82" s="7" t="str">
        <f>IF(_motor!$B$662=0,"",C82-D82)</f>
        <v/>
      </c>
      <c r="H82" s="7" t="str">
        <f>IF(_motor!$B$662=0,"",C82-E82)</f>
        <v/>
      </c>
      <c r="I82" s="2" t="str">
        <f>IF(_motor!$B$662=0,"",IF(AND(ABS(_motor!$C$662-_motor!$B$668)&lt;=_motor!$B$676+0.000000001,ABS(_motor!$D$662-_motor!$B$668)&lt;=_motor!$B$676+0.000000001),"5 · Pelotón (no concluyente)",IF(AND(_motor!$C$662&gt;=_motor!$B$668,_motor!$D$662&lt;_motor!$B$668),"1 · Entrada / determinante",IF(AND(_motor!$C$662&gt;=_motor!$B$668,_motor!$D$662&gt;=_motor!$B$668),"2 · Intermedia / de enlace",IF(AND(_motor!$C$662&lt;_motor!$B$668,_motor!$D$662&gt;=_motor!$B$668),"3 · Resultado","4 · Excluida / autónoma")))))</f>
        <v/>
      </c>
      <c r="J82" s="2" t="str">
        <f>IF(_motor!$B$662=0,"",IF(AND(ABS(_motor!$I$662-_motor!$B$671)&lt;=_motor!$B$679+0.000000001,ABS(_motor!$J$662-_motor!$B$671)&lt;=_motor!$B$679+0.000000001),"5 · Pelotón (no concluyente)",IF(AND(_motor!$I$662&gt;=_motor!$B$671,_motor!$J$662&lt;_motor!$B$671),"1 · Entrada / determinante",IF(AND(_motor!$I$662&gt;=_motor!$B$671,_motor!$J$662&gt;=_motor!$B$671),"2 · Intermedia / de enlace",IF(AND(_motor!$I$662&lt;_motor!$B$671,_motor!$J$662&gt;=_motor!$B$671),"3 · Resultado","4 · Excluida / autónoma")))))</f>
        <v/>
      </c>
      <c r="K82" s="7" t="str">
        <f>IF(_motor!$B$662=0,"",IF(LEFT(I82,1)=LEFT(J82,1),"No","SÍ"))</f>
        <v/>
      </c>
      <c r="L82" s="2" t="str">
        <f>IF(_motor!$B$662=0,"",IF(AND(G82&gt;2,H82&gt;2),"Variable oculta y además latente: su peso real está muy infravalorado en la lectura directa. Prioridad máxima de seguimiento.",IF(G82&gt;2,"Variable oculta: gobierna el sistema a través de cadenas indirectas.",IF(H82&gt;2,"Variable latente: hoy es secundaria, pero ganará peso si las relaciones potenciales se materializan.",IF(AND(G82&lt;-2,H82&lt;-2),"Su importancia aparente en la lectura directa no se sostiene ni por vía indirecta ni potencial.","Comportamiento estable en las distintas clasificaciones.")))))</f>
        <v/>
      </c>
    </row>
    <row r="83" spans="1:12" x14ac:dyDescent="0.2">
      <c r="A83" s="6" t="str">
        <f>IF(_motor!$B$663=0,"",'02 · Variables'!$B$84)</f>
        <v/>
      </c>
      <c r="B83" s="2" t="str">
        <f>IF(_motor!$B$663=0,"",'02 · Variables'!$C$84)</f>
        <v/>
      </c>
      <c r="C83" s="7" t="str">
        <f>IF(_motor!$B$663=0,"",SUMPRODUCT(_motor!$B$586:$B$665*(_motor!$C$586:$C$665&gt;_motor!$C$663))+(SUMPRODUCT(_motor!$B$586:$B$665*(_motor!$C$586:$C$665=_motor!$C$663))+1)/2)</f>
        <v/>
      </c>
      <c r="D83" s="7" t="str">
        <f>IF(_motor!$B$663=0,"",SUMPRODUCT(_motor!$B$586:$B$665*(_motor!$E$586:$E$665&gt;_motor!$E$663))+(SUMPRODUCT(_motor!$B$586:$B$665*(_motor!$E$586:$E$665=_motor!$E$663))+1)/2)</f>
        <v/>
      </c>
      <c r="E83" s="7" t="str">
        <f>IF(_motor!$B$663=0,"",SUMPRODUCT(_motor!$B$586:$B$665*(_motor!$G$586:$G$665&gt;_motor!$G$663))+(SUMPRODUCT(_motor!$B$586:$B$665*(_motor!$G$586:$G$665=_motor!$G$663))+1)/2)</f>
        <v/>
      </c>
      <c r="F83" s="7" t="str">
        <f>IF(_motor!$B$663=0,"",SUMPRODUCT(_motor!$B$586:$B$665*(_motor!$I$586:$I$665&gt;_motor!$I$663))+(SUMPRODUCT(_motor!$B$586:$B$665*(_motor!$I$586:$I$665=_motor!$I$663))+1)/2)</f>
        <v/>
      </c>
      <c r="G83" s="7" t="str">
        <f>IF(_motor!$B$663=0,"",C83-D83)</f>
        <v/>
      </c>
      <c r="H83" s="7" t="str">
        <f>IF(_motor!$B$663=0,"",C83-E83)</f>
        <v/>
      </c>
      <c r="I83" s="2" t="str">
        <f>IF(_motor!$B$663=0,"",IF(AND(ABS(_motor!$C$663-_motor!$B$668)&lt;=_motor!$B$676+0.000000001,ABS(_motor!$D$663-_motor!$B$668)&lt;=_motor!$B$676+0.000000001),"5 · Pelotón (no concluyente)",IF(AND(_motor!$C$663&gt;=_motor!$B$668,_motor!$D$663&lt;_motor!$B$668),"1 · Entrada / determinante",IF(AND(_motor!$C$663&gt;=_motor!$B$668,_motor!$D$663&gt;=_motor!$B$668),"2 · Intermedia / de enlace",IF(AND(_motor!$C$663&lt;_motor!$B$668,_motor!$D$663&gt;=_motor!$B$668),"3 · Resultado","4 · Excluida / autónoma")))))</f>
        <v/>
      </c>
      <c r="J83" s="2" t="str">
        <f>IF(_motor!$B$663=0,"",IF(AND(ABS(_motor!$I$663-_motor!$B$671)&lt;=_motor!$B$679+0.000000001,ABS(_motor!$J$663-_motor!$B$671)&lt;=_motor!$B$679+0.000000001),"5 · Pelotón (no concluyente)",IF(AND(_motor!$I$663&gt;=_motor!$B$671,_motor!$J$663&lt;_motor!$B$671),"1 · Entrada / determinante",IF(AND(_motor!$I$663&gt;=_motor!$B$671,_motor!$J$663&gt;=_motor!$B$671),"2 · Intermedia / de enlace",IF(AND(_motor!$I$663&lt;_motor!$B$671,_motor!$J$663&gt;=_motor!$B$671),"3 · Resultado","4 · Excluida / autónoma")))))</f>
        <v/>
      </c>
      <c r="K83" s="7" t="str">
        <f>IF(_motor!$B$663=0,"",IF(LEFT(I83,1)=LEFT(J83,1),"No","SÍ"))</f>
        <v/>
      </c>
      <c r="L83" s="2" t="str">
        <f>IF(_motor!$B$663=0,"",IF(AND(G83&gt;2,H83&gt;2),"Variable oculta y además latente: su peso real está muy infravalorado en la lectura directa. Prioridad máxima de seguimiento.",IF(G83&gt;2,"Variable oculta: gobierna el sistema a través de cadenas indirectas.",IF(H83&gt;2,"Variable latente: hoy es secundaria, pero ganará peso si las relaciones potenciales se materializan.",IF(AND(G83&lt;-2,H83&lt;-2),"Su importancia aparente en la lectura directa no se sostiene ni por vía indirecta ni potencial.","Comportamiento estable en las distintas clasificaciones.")))))</f>
        <v/>
      </c>
    </row>
    <row r="84" spans="1:12" x14ac:dyDescent="0.2">
      <c r="A84" s="6" t="str">
        <f>IF(_motor!$B$664=0,"",'02 · Variables'!$B$85)</f>
        <v/>
      </c>
      <c r="B84" s="2" t="str">
        <f>IF(_motor!$B$664=0,"",'02 · Variables'!$C$85)</f>
        <v/>
      </c>
      <c r="C84" s="7" t="str">
        <f>IF(_motor!$B$664=0,"",SUMPRODUCT(_motor!$B$586:$B$665*(_motor!$C$586:$C$665&gt;_motor!$C$664))+(SUMPRODUCT(_motor!$B$586:$B$665*(_motor!$C$586:$C$665=_motor!$C$664))+1)/2)</f>
        <v/>
      </c>
      <c r="D84" s="7" t="str">
        <f>IF(_motor!$B$664=0,"",SUMPRODUCT(_motor!$B$586:$B$665*(_motor!$E$586:$E$665&gt;_motor!$E$664))+(SUMPRODUCT(_motor!$B$586:$B$665*(_motor!$E$586:$E$665=_motor!$E$664))+1)/2)</f>
        <v/>
      </c>
      <c r="E84" s="7" t="str">
        <f>IF(_motor!$B$664=0,"",SUMPRODUCT(_motor!$B$586:$B$665*(_motor!$G$586:$G$665&gt;_motor!$G$664))+(SUMPRODUCT(_motor!$B$586:$B$665*(_motor!$G$586:$G$665=_motor!$G$664))+1)/2)</f>
        <v/>
      </c>
      <c r="F84" s="7" t="str">
        <f>IF(_motor!$B$664=0,"",SUMPRODUCT(_motor!$B$586:$B$665*(_motor!$I$586:$I$665&gt;_motor!$I$664))+(SUMPRODUCT(_motor!$B$586:$B$665*(_motor!$I$586:$I$665=_motor!$I$664))+1)/2)</f>
        <v/>
      </c>
      <c r="G84" s="7" t="str">
        <f>IF(_motor!$B$664=0,"",C84-D84)</f>
        <v/>
      </c>
      <c r="H84" s="7" t="str">
        <f>IF(_motor!$B$664=0,"",C84-E84)</f>
        <v/>
      </c>
      <c r="I84" s="2" t="str">
        <f>IF(_motor!$B$664=0,"",IF(AND(ABS(_motor!$C$664-_motor!$B$668)&lt;=_motor!$B$676+0.000000001,ABS(_motor!$D$664-_motor!$B$668)&lt;=_motor!$B$676+0.000000001),"5 · Pelotón (no concluyente)",IF(AND(_motor!$C$664&gt;=_motor!$B$668,_motor!$D$664&lt;_motor!$B$668),"1 · Entrada / determinante",IF(AND(_motor!$C$664&gt;=_motor!$B$668,_motor!$D$664&gt;=_motor!$B$668),"2 · Intermedia / de enlace",IF(AND(_motor!$C$664&lt;_motor!$B$668,_motor!$D$664&gt;=_motor!$B$668),"3 · Resultado","4 · Excluida / autónoma")))))</f>
        <v/>
      </c>
      <c r="J84" s="2" t="str">
        <f>IF(_motor!$B$664=0,"",IF(AND(ABS(_motor!$I$664-_motor!$B$671)&lt;=_motor!$B$679+0.000000001,ABS(_motor!$J$664-_motor!$B$671)&lt;=_motor!$B$679+0.000000001),"5 · Pelotón (no concluyente)",IF(AND(_motor!$I$664&gt;=_motor!$B$671,_motor!$J$664&lt;_motor!$B$671),"1 · Entrada / determinante",IF(AND(_motor!$I$664&gt;=_motor!$B$671,_motor!$J$664&gt;=_motor!$B$671),"2 · Intermedia / de enlace",IF(AND(_motor!$I$664&lt;_motor!$B$671,_motor!$J$664&gt;=_motor!$B$671),"3 · Resultado","4 · Excluida / autónoma")))))</f>
        <v/>
      </c>
      <c r="K84" s="7" t="str">
        <f>IF(_motor!$B$664=0,"",IF(LEFT(I84,1)=LEFT(J84,1),"No","SÍ"))</f>
        <v/>
      </c>
      <c r="L84" s="2" t="str">
        <f>IF(_motor!$B$664=0,"",IF(AND(G84&gt;2,H84&gt;2),"Variable oculta y además latente: su peso real está muy infravalorado en la lectura directa. Prioridad máxima de seguimiento.",IF(G84&gt;2,"Variable oculta: gobierna el sistema a través de cadenas indirectas.",IF(H84&gt;2,"Variable latente: hoy es secundaria, pero ganará peso si las relaciones potenciales se materializan.",IF(AND(G84&lt;-2,H84&lt;-2),"Su importancia aparente en la lectura directa no se sostiene ni por vía indirecta ni potencial.","Comportamiento estable en las distintas clasificaciones.")))))</f>
        <v/>
      </c>
    </row>
    <row r="85" spans="1:12" x14ac:dyDescent="0.2">
      <c r="A85" s="6" t="str">
        <f>IF(_motor!$B$665=0,"",'02 · Variables'!$B$86)</f>
        <v/>
      </c>
      <c r="B85" s="2" t="str">
        <f>IF(_motor!$B$665=0,"",'02 · Variables'!$C$86)</f>
        <v/>
      </c>
      <c r="C85" s="7" t="str">
        <f>IF(_motor!$B$665=0,"",SUMPRODUCT(_motor!$B$586:$B$665*(_motor!$C$586:$C$665&gt;_motor!$C$665))+(SUMPRODUCT(_motor!$B$586:$B$665*(_motor!$C$586:$C$665=_motor!$C$665))+1)/2)</f>
        <v/>
      </c>
      <c r="D85" s="7" t="str">
        <f>IF(_motor!$B$665=0,"",SUMPRODUCT(_motor!$B$586:$B$665*(_motor!$E$586:$E$665&gt;_motor!$E$665))+(SUMPRODUCT(_motor!$B$586:$B$665*(_motor!$E$586:$E$665=_motor!$E$665))+1)/2)</f>
        <v/>
      </c>
      <c r="E85" s="7" t="str">
        <f>IF(_motor!$B$665=0,"",SUMPRODUCT(_motor!$B$586:$B$665*(_motor!$G$586:$G$665&gt;_motor!$G$665))+(SUMPRODUCT(_motor!$B$586:$B$665*(_motor!$G$586:$G$665=_motor!$G$665))+1)/2)</f>
        <v/>
      </c>
      <c r="F85" s="7" t="str">
        <f>IF(_motor!$B$665=0,"",SUMPRODUCT(_motor!$B$586:$B$665*(_motor!$I$586:$I$665&gt;_motor!$I$665))+(SUMPRODUCT(_motor!$B$586:$B$665*(_motor!$I$586:$I$665=_motor!$I$665))+1)/2)</f>
        <v/>
      </c>
      <c r="G85" s="7" t="str">
        <f>IF(_motor!$B$665=0,"",C85-D85)</f>
        <v/>
      </c>
      <c r="H85" s="7" t="str">
        <f>IF(_motor!$B$665=0,"",C85-E85)</f>
        <v/>
      </c>
      <c r="I85" s="2" t="str">
        <f>IF(_motor!$B$665=0,"",IF(AND(ABS(_motor!$C$665-_motor!$B$668)&lt;=_motor!$B$676+0.000000001,ABS(_motor!$D$665-_motor!$B$668)&lt;=_motor!$B$676+0.000000001),"5 · Pelotón (no concluyente)",IF(AND(_motor!$C$665&gt;=_motor!$B$668,_motor!$D$665&lt;_motor!$B$668),"1 · Entrada / determinante",IF(AND(_motor!$C$665&gt;=_motor!$B$668,_motor!$D$665&gt;=_motor!$B$668),"2 · Intermedia / de enlace",IF(AND(_motor!$C$665&lt;_motor!$B$668,_motor!$D$665&gt;=_motor!$B$668),"3 · Resultado","4 · Excluida / autónoma")))))</f>
        <v/>
      </c>
      <c r="J85" s="2" t="str">
        <f>IF(_motor!$B$665=0,"",IF(AND(ABS(_motor!$I$665-_motor!$B$671)&lt;=_motor!$B$679+0.000000001,ABS(_motor!$J$665-_motor!$B$671)&lt;=_motor!$B$679+0.000000001),"5 · Pelotón (no concluyente)",IF(AND(_motor!$I$665&gt;=_motor!$B$671,_motor!$J$665&lt;_motor!$B$671),"1 · Entrada / determinante",IF(AND(_motor!$I$665&gt;=_motor!$B$671,_motor!$J$665&gt;=_motor!$B$671),"2 · Intermedia / de enlace",IF(AND(_motor!$I$665&lt;_motor!$B$671,_motor!$J$665&gt;=_motor!$B$671),"3 · Resultado","4 · Excluida / autónoma")))))</f>
        <v/>
      </c>
      <c r="K85" s="7" t="str">
        <f>IF(_motor!$B$665=0,"",IF(LEFT(I85,1)=LEFT(J85,1),"No","SÍ"))</f>
        <v/>
      </c>
      <c r="L85" s="2" t="str">
        <f>IF(_motor!$B$665=0,"",IF(AND(G85&gt;2,H85&gt;2),"Variable oculta y además latente: su peso real está muy infravalorado en la lectura directa. Prioridad máxima de seguimiento.",IF(G85&gt;2,"Variable oculta: gobierna el sistema a través de cadenas indirectas.",IF(H85&gt;2,"Variable latente: hoy es secundaria, pero ganará peso si las relaciones potenciales se materializan.",IF(AND(G85&lt;-2,H85&lt;-2),"Su importancia aparente en la lectura directa no se sostiene ni por vía indirecta ni potencial.","Comportamiento estable en las distintas clasificaciones.")))))</f>
        <v/>
      </c>
    </row>
    <row r="88" spans="1:12" ht="19.5" customHeight="1" x14ac:dyDescent="0.2">
      <c r="B88" s="4" t="s">
        <v>34</v>
      </c>
    </row>
    <row r="89" spans="1:12" ht="30" x14ac:dyDescent="0.2">
      <c r="B89" s="1" t="s">
        <v>35</v>
      </c>
      <c r="C89" s="7">
        <f>_motor!$B$681</f>
        <v>0</v>
      </c>
    </row>
    <row r="90" spans="1:12" ht="30" x14ac:dyDescent="0.2">
      <c r="B90" s="1" t="s">
        <v>36</v>
      </c>
      <c r="C90" s="7">
        <f>_motor!$B$682</f>
        <v>0</v>
      </c>
    </row>
    <row r="91" spans="1:12" ht="30" x14ac:dyDescent="0.2">
      <c r="B91" s="1" t="s">
        <v>37</v>
      </c>
      <c r="C91" s="7">
        <f>_motor!$B$683</f>
        <v>0</v>
      </c>
    </row>
    <row r="92" spans="1:12" x14ac:dyDescent="0.2">
      <c r="B92" s="1" t="s">
        <v>38</v>
      </c>
      <c r="C92" s="120" t="str">
        <f>IF(_motor!$B$3=0,"Sin datos",IF(_motor!$B$683=0,"CONVERGENCIA PLENA: la jerarquía ya no cambia al elevar la matriz. La clasificación indirecta es definitiva.",IF(_motor!$B$683&lt;=_motor!$B$682,"CONVERGENCIA SUFICIENTE: los cambios decrecen al aumentar la potencia. MID³ es una base sólida.","SIN CONVERGENCIA: la jerarquía sigue moviéndose. Revise la matriz o eleve a potencias superiores antes de concluir.")))</f>
        <v>CONVERGENCIA PLENA: la jerarquía ya no cambia al elevar la matriz. La clasificación indirecta es definitiva.</v>
      </c>
      <c r="D92" s="120"/>
      <c r="E92" s="120"/>
      <c r="F92" s="120"/>
      <c r="G92" s="120"/>
      <c r="H92" s="120"/>
      <c r="I92" s="120"/>
      <c r="J92" s="120"/>
      <c r="K92" s="120"/>
      <c r="L92" s="120"/>
    </row>
    <row r="94" spans="1:12" ht="49.5" customHeight="1" x14ac:dyDescent="0.2">
      <c r="B94" s="3" t="s">
        <v>39</v>
      </c>
    </row>
  </sheetData>
  <sheetProtection password="CD7E" sheet="1" formatCells="0" formatColumns="0" formatRows="0" insertRows="0"/>
  <mergeCells count="1">
    <mergeCell ref="C92:L92"/>
  </mergeCells>
  <conditionalFormatting sqref="G6:H85">
    <cfRule type="cellIs" dxfId="1" priority="2" operator="greaterThan">
      <formula>2</formula>
    </cfRule>
  </conditionalFormatting>
  <conditionalFormatting sqref="K6:K85">
    <cfRule type="cellIs" dxfId="0" priority="3" operator="equal">
      <formula>"SÍ"</formula>
    </cfRule>
  </conditionalFormatting>
  <pageMargins left="0.5" right="0.5" top="0.6" bottom="0.6" header="0.3" footer="0.3"/>
  <pageSetup paperSize="9" fitToHeight="0" orientation="landscape" horizontalDpi="300" verticalDpi="300"/>
  <headerFooter>
    <oddHeader>&amp;R&amp;"Aptos,Regular"&amp;8&amp;K94A0AE12 Comparativa</oddHeader>
    <oddFooter>&amp;L&amp;"Aptos,Regular"&amp;8&amp;K94A0AEIntelKIT · MICMAC Professional v1.0&amp;R&amp;"Aptos,Regular"&amp;8&amp;K94A0AEPágina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4A0AE"/>
  </sheetPr>
  <dimension ref="A1:CB695"/>
  <sheetViews>
    <sheetView showGridLines="0" zoomScaleNormal="100" workbookViewId="0"/>
  </sheetViews>
  <sheetFormatPr baseColWidth="10" defaultColWidth="8.6640625" defaultRowHeight="15" x14ac:dyDescent="0.2"/>
  <sheetData>
    <row r="1" spans="1:80" ht="19" x14ac:dyDescent="0.25">
      <c r="A1" s="12" t="s">
        <v>40</v>
      </c>
    </row>
    <row r="2" spans="1:80" x14ac:dyDescent="0.2">
      <c r="A2" s="13" t="s">
        <v>41</v>
      </c>
    </row>
    <row r="3" spans="1:80" x14ac:dyDescent="0.2">
      <c r="A3" t="s">
        <v>42</v>
      </c>
      <c r="B3">
        <f>COUNTA('02 · Variables'!$C$7:$C$86)</f>
        <v>25</v>
      </c>
    </row>
    <row r="4" spans="1:80" x14ac:dyDescent="0.2">
      <c r="A4" t="s">
        <v>43</v>
      </c>
      <c r="B4">
        <f>B3*(B3-1)</f>
        <v>600</v>
      </c>
    </row>
    <row r="5" spans="1:80" x14ac:dyDescent="0.2">
      <c r="A5" t="s">
        <v>44</v>
      </c>
      <c r="B5">
        <f>COUNTIF('04 · Matriz'!$C$6:$CD$85,"&gt;0")</f>
        <v>0</v>
      </c>
    </row>
    <row r="6" spans="1:80" x14ac:dyDescent="0.2">
      <c r="A6" t="s">
        <v>45</v>
      </c>
      <c r="B6">
        <f>COUNTIF('04 · Matriz'!$C$6:$CD$85,4)</f>
        <v>0</v>
      </c>
    </row>
    <row r="7" spans="1:80" x14ac:dyDescent="0.2">
      <c r="A7" t="s">
        <v>46</v>
      </c>
      <c r="B7">
        <f>IF(B4=0,0,B5/B4)</f>
        <v>0</v>
      </c>
    </row>
    <row r="8" spans="1:80" x14ac:dyDescent="0.2">
      <c r="A8" t="s">
        <v>47</v>
      </c>
      <c r="B8" s="14">
        <f>Método!$C$23</f>
        <v>0.1</v>
      </c>
    </row>
    <row r="10" spans="1:80" x14ac:dyDescent="0.2">
      <c r="A10" s="11" t="s">
        <v>48</v>
      </c>
    </row>
    <row r="11" spans="1:80" x14ac:dyDescent="0.2">
      <c r="A11">
        <f t="array" ref="A11:CB90">IF('04 · Matriz'!$C$6:$CD$85=4,0,IF(ISNUMBER('04 · Matriz'!$C$6:$CD$85),'04 · Matriz'!$C$6:$CD$85,0))</f>
        <v>0</v>
      </c>
      <c r="B11">
        <v>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row>
    <row r="12" spans="1:80" x14ac:dyDescent="0.2">
      <c r="A12">
        <v>0</v>
      </c>
      <c r="B12">
        <v>0</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row>
    <row r="13" spans="1:80" x14ac:dyDescent="0.2">
      <c r="A13">
        <v>0</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row>
    <row r="14" spans="1:80" x14ac:dyDescent="0.2">
      <c r="A14">
        <v>0</v>
      </c>
      <c r="B14">
        <v>0</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row>
    <row r="15" spans="1:80" x14ac:dyDescent="0.2">
      <c r="A15">
        <v>0</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row>
    <row r="16" spans="1:80" x14ac:dyDescent="0.2">
      <c r="A16">
        <v>0</v>
      </c>
      <c r="B16">
        <v>0</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row>
    <row r="17" spans="1:80" x14ac:dyDescent="0.2">
      <c r="A17">
        <v>0</v>
      </c>
      <c r="B17">
        <v>0</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row>
    <row r="18" spans="1:80" x14ac:dyDescent="0.2">
      <c r="A18">
        <v>0</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row>
    <row r="19" spans="1:80" x14ac:dyDescent="0.2">
      <c r="A19">
        <v>0</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row>
    <row r="20" spans="1:80" x14ac:dyDescent="0.2">
      <c r="A20">
        <v>0</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row>
    <row r="21" spans="1:80" x14ac:dyDescent="0.2">
      <c r="A21">
        <v>0</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row>
    <row r="22" spans="1:80" x14ac:dyDescent="0.2">
      <c r="A22">
        <v>0</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row>
    <row r="23" spans="1:80" x14ac:dyDescent="0.2">
      <c r="A23">
        <v>0</v>
      </c>
      <c r="B23">
        <v>0</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row>
    <row r="24" spans="1:80" x14ac:dyDescent="0.2">
      <c r="A24">
        <v>0</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row>
    <row r="25" spans="1:80" x14ac:dyDescent="0.2">
      <c r="A25">
        <v>0</v>
      </c>
      <c r="B25">
        <v>0</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row>
    <row r="26" spans="1:80" x14ac:dyDescent="0.2">
      <c r="A26">
        <v>0</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row>
    <row r="27" spans="1:80" x14ac:dyDescent="0.2">
      <c r="A27">
        <v>0</v>
      </c>
      <c r="B27">
        <v>0</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row>
    <row r="28" spans="1:80" x14ac:dyDescent="0.2">
      <c r="A28">
        <v>0</v>
      </c>
      <c r="B28">
        <v>0</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row>
    <row r="29" spans="1:80" x14ac:dyDescent="0.2">
      <c r="A29">
        <v>0</v>
      </c>
      <c r="B29">
        <v>0</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row>
    <row r="30" spans="1:80" x14ac:dyDescent="0.2">
      <c r="A30">
        <v>0</v>
      </c>
      <c r="B30">
        <v>0</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row>
    <row r="31" spans="1:80" x14ac:dyDescent="0.2">
      <c r="A31">
        <v>0</v>
      </c>
      <c r="B31">
        <v>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row>
    <row r="32" spans="1:80" x14ac:dyDescent="0.2">
      <c r="A32">
        <v>0</v>
      </c>
      <c r="B32">
        <v>0</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row>
    <row r="33" spans="1:80" x14ac:dyDescent="0.2">
      <c r="A33">
        <v>0</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row>
    <row r="34" spans="1:80" x14ac:dyDescent="0.2">
      <c r="A34">
        <v>0</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row>
    <row r="35" spans="1:80" x14ac:dyDescent="0.2">
      <c r="A35">
        <v>0</v>
      </c>
      <c r="B35">
        <v>0</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row>
    <row r="36" spans="1:80" x14ac:dyDescent="0.2">
      <c r="A36">
        <v>0</v>
      </c>
      <c r="B36">
        <v>0</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row>
    <row r="37" spans="1:80" x14ac:dyDescent="0.2">
      <c r="A37">
        <v>0</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row>
    <row r="38" spans="1:80" x14ac:dyDescent="0.2">
      <c r="A38">
        <v>0</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row>
    <row r="39" spans="1:80" x14ac:dyDescent="0.2">
      <c r="A39">
        <v>0</v>
      </c>
      <c r="B39">
        <v>0</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row>
    <row r="40" spans="1:80" x14ac:dyDescent="0.2">
      <c r="A40">
        <v>0</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row>
    <row r="41" spans="1:80" x14ac:dyDescent="0.2">
      <c r="A41">
        <v>0</v>
      </c>
      <c r="B41">
        <v>0</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row>
    <row r="42" spans="1:80" x14ac:dyDescent="0.2">
      <c r="A42">
        <v>0</v>
      </c>
      <c r="B42">
        <v>0</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row>
    <row r="43" spans="1:80" x14ac:dyDescent="0.2">
      <c r="A43">
        <v>0</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row>
    <row r="44" spans="1:80" x14ac:dyDescent="0.2">
      <c r="A44">
        <v>0</v>
      </c>
      <c r="B44">
        <v>0</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row>
    <row r="45" spans="1:80" x14ac:dyDescent="0.2">
      <c r="A45">
        <v>0</v>
      </c>
      <c r="B45">
        <v>0</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row>
    <row r="46" spans="1:80" x14ac:dyDescent="0.2">
      <c r="A46">
        <v>0</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row>
    <row r="47" spans="1:80" x14ac:dyDescent="0.2">
      <c r="A47">
        <v>0</v>
      </c>
      <c r="B47">
        <v>0</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row>
    <row r="48" spans="1:80" x14ac:dyDescent="0.2">
      <c r="A48">
        <v>0</v>
      </c>
      <c r="B48">
        <v>0</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row>
    <row r="49" spans="1:80" x14ac:dyDescent="0.2">
      <c r="A49">
        <v>0</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row>
    <row r="50" spans="1:80" x14ac:dyDescent="0.2">
      <c r="A50">
        <v>0</v>
      </c>
      <c r="B50">
        <v>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row>
    <row r="51" spans="1:80" x14ac:dyDescent="0.2">
      <c r="A51">
        <v>0</v>
      </c>
      <c r="B51">
        <v>0</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row>
    <row r="52" spans="1:80" x14ac:dyDescent="0.2">
      <c r="A52">
        <v>0</v>
      </c>
      <c r="B52">
        <v>0</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row>
    <row r="53" spans="1:80" x14ac:dyDescent="0.2">
      <c r="A53">
        <v>0</v>
      </c>
      <c r="B53">
        <v>0</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row>
    <row r="54" spans="1:80" x14ac:dyDescent="0.2">
      <c r="A54">
        <v>0</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row>
    <row r="55" spans="1:80" x14ac:dyDescent="0.2">
      <c r="A55">
        <v>0</v>
      </c>
      <c r="B55">
        <v>0</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row>
    <row r="56" spans="1:80" x14ac:dyDescent="0.2">
      <c r="A56">
        <v>0</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row>
    <row r="57" spans="1:80" x14ac:dyDescent="0.2">
      <c r="A57">
        <v>0</v>
      </c>
      <c r="B57">
        <v>0</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row>
    <row r="58" spans="1:80" x14ac:dyDescent="0.2">
      <c r="A58">
        <v>0</v>
      </c>
      <c r="B58">
        <v>0</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row>
    <row r="59" spans="1:80" x14ac:dyDescent="0.2">
      <c r="A59">
        <v>0</v>
      </c>
      <c r="B59">
        <v>0</v>
      </c>
      <c r="C59">
        <v>0</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row>
    <row r="60" spans="1:80" x14ac:dyDescent="0.2">
      <c r="A60">
        <v>0</v>
      </c>
      <c r="B60">
        <v>0</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row>
    <row r="61" spans="1:80" x14ac:dyDescent="0.2">
      <c r="A61">
        <v>0</v>
      </c>
      <c r="B61">
        <v>0</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row>
    <row r="62" spans="1:80" x14ac:dyDescent="0.2">
      <c r="A62">
        <v>0</v>
      </c>
      <c r="B62">
        <v>0</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row>
    <row r="63" spans="1:80" x14ac:dyDescent="0.2">
      <c r="A63">
        <v>0</v>
      </c>
      <c r="B63">
        <v>0</v>
      </c>
      <c r="C63">
        <v>0</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row>
    <row r="64" spans="1:80" x14ac:dyDescent="0.2">
      <c r="A64">
        <v>0</v>
      </c>
      <c r="B64">
        <v>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row>
    <row r="65" spans="1:80" x14ac:dyDescent="0.2">
      <c r="A65">
        <v>0</v>
      </c>
      <c r="B65">
        <v>0</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row>
    <row r="66" spans="1:80" x14ac:dyDescent="0.2">
      <c r="A66">
        <v>0</v>
      </c>
      <c r="B66">
        <v>0</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row>
    <row r="67" spans="1:80" x14ac:dyDescent="0.2">
      <c r="A67">
        <v>0</v>
      </c>
      <c r="B67">
        <v>0</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row>
    <row r="68" spans="1:80" x14ac:dyDescent="0.2">
      <c r="A68">
        <v>0</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row>
    <row r="69" spans="1:80" x14ac:dyDescent="0.2">
      <c r="A69">
        <v>0</v>
      </c>
      <c r="B69">
        <v>0</v>
      </c>
      <c r="C69">
        <v>0</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row>
    <row r="70" spans="1:80" x14ac:dyDescent="0.2">
      <c r="A70">
        <v>0</v>
      </c>
      <c r="B70">
        <v>0</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row>
    <row r="71" spans="1:80" x14ac:dyDescent="0.2">
      <c r="A71">
        <v>0</v>
      </c>
      <c r="B71">
        <v>0</v>
      </c>
      <c r="C71">
        <v>0</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row>
    <row r="72" spans="1:80" x14ac:dyDescent="0.2">
      <c r="A72">
        <v>0</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row>
    <row r="73" spans="1:80" x14ac:dyDescent="0.2">
      <c r="A73">
        <v>0</v>
      </c>
      <c r="B73">
        <v>0</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row>
    <row r="74" spans="1:80" x14ac:dyDescent="0.2">
      <c r="A74">
        <v>0</v>
      </c>
      <c r="B74">
        <v>0</v>
      </c>
      <c r="C74">
        <v>0</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row>
    <row r="75" spans="1:80" x14ac:dyDescent="0.2">
      <c r="A75">
        <v>0</v>
      </c>
      <c r="B75">
        <v>0</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row>
    <row r="76" spans="1:80" x14ac:dyDescent="0.2">
      <c r="A76">
        <v>0</v>
      </c>
      <c r="B76">
        <v>0</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row>
    <row r="77" spans="1:80" x14ac:dyDescent="0.2">
      <c r="A77">
        <v>0</v>
      </c>
      <c r="B77">
        <v>0</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row>
    <row r="78" spans="1:80" x14ac:dyDescent="0.2">
      <c r="A78">
        <v>0</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row>
    <row r="79" spans="1:80" x14ac:dyDescent="0.2">
      <c r="A79">
        <v>0</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row>
    <row r="80" spans="1:80" x14ac:dyDescent="0.2">
      <c r="A80">
        <v>0</v>
      </c>
      <c r="B80">
        <v>0</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row>
    <row r="81" spans="1:80" x14ac:dyDescent="0.2">
      <c r="A81">
        <v>0</v>
      </c>
      <c r="B81">
        <v>0</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row>
    <row r="82" spans="1:80" x14ac:dyDescent="0.2">
      <c r="A82">
        <v>0</v>
      </c>
      <c r="B82">
        <v>0</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row>
    <row r="83" spans="1:80" x14ac:dyDescent="0.2">
      <c r="A83">
        <v>0</v>
      </c>
      <c r="B83">
        <v>0</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row>
    <row r="84" spans="1:80" x14ac:dyDescent="0.2">
      <c r="A84">
        <v>0</v>
      </c>
      <c r="B84">
        <v>0</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row>
    <row r="85" spans="1:80" x14ac:dyDescent="0.2">
      <c r="A85">
        <v>0</v>
      </c>
      <c r="B85">
        <v>0</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row>
    <row r="86" spans="1:80" x14ac:dyDescent="0.2">
      <c r="A86">
        <v>0</v>
      </c>
      <c r="B86">
        <v>0</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row>
    <row r="87" spans="1:80" x14ac:dyDescent="0.2">
      <c r="A87">
        <v>0</v>
      </c>
      <c r="B87">
        <v>0</v>
      </c>
      <c r="C87">
        <v>0</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row>
    <row r="88" spans="1:80" x14ac:dyDescent="0.2">
      <c r="A88">
        <v>0</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row>
    <row r="89" spans="1:80" x14ac:dyDescent="0.2">
      <c r="A89">
        <v>0</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row>
    <row r="90" spans="1:80" x14ac:dyDescent="0.2">
      <c r="A90">
        <v>0</v>
      </c>
      <c r="B90">
        <v>0</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row>
    <row r="92" spans="1:80" x14ac:dyDescent="0.2">
      <c r="A92" s="11" t="s">
        <v>49</v>
      </c>
    </row>
    <row r="93" spans="1:80" x14ac:dyDescent="0.2">
      <c r="A93">
        <f t="array" ref="A93:CB172">IF('04 · Matriz'!$C$6:$CD$85=4,3,IF(ISNUMBER('04 · Matriz'!$C$6:$CD$85),'04 · Matriz'!$C$6:$CD$85,0))</f>
        <v>0</v>
      </c>
      <c r="B93">
        <v>0</v>
      </c>
      <c r="C93">
        <v>0</v>
      </c>
      <c r="D93">
        <v>0</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row>
    <row r="94" spans="1:80" x14ac:dyDescent="0.2">
      <c r="A94">
        <v>0</v>
      </c>
      <c r="B94">
        <v>0</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row>
    <row r="95" spans="1:80" x14ac:dyDescent="0.2">
      <c r="A95">
        <v>0</v>
      </c>
      <c r="B95">
        <v>0</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row>
    <row r="96" spans="1:80" x14ac:dyDescent="0.2">
      <c r="A96">
        <v>0</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row>
    <row r="97" spans="1:80" x14ac:dyDescent="0.2">
      <c r="A97">
        <v>0</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row>
    <row r="98" spans="1:80" x14ac:dyDescent="0.2">
      <c r="A98">
        <v>0</v>
      </c>
      <c r="B98">
        <v>0</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row>
    <row r="99" spans="1:80" x14ac:dyDescent="0.2">
      <c r="A99">
        <v>0</v>
      </c>
      <c r="B99">
        <v>0</v>
      </c>
      <c r="C99">
        <v>0</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row>
    <row r="100" spans="1:80" x14ac:dyDescent="0.2">
      <c r="A100">
        <v>0</v>
      </c>
      <c r="B100">
        <v>0</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row>
    <row r="101" spans="1:80" x14ac:dyDescent="0.2">
      <c r="A101">
        <v>0</v>
      </c>
      <c r="B101">
        <v>0</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row>
    <row r="102" spans="1:80" x14ac:dyDescent="0.2">
      <c r="A102">
        <v>0</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row>
    <row r="103" spans="1:80" x14ac:dyDescent="0.2">
      <c r="A103">
        <v>0</v>
      </c>
      <c r="B103">
        <v>0</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row>
    <row r="104" spans="1:80" x14ac:dyDescent="0.2">
      <c r="A104">
        <v>0</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row>
    <row r="105" spans="1:80" x14ac:dyDescent="0.2">
      <c r="A105">
        <v>0</v>
      </c>
      <c r="B105">
        <v>0</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row>
    <row r="106" spans="1:80" x14ac:dyDescent="0.2">
      <c r="A106">
        <v>0</v>
      </c>
      <c r="B106">
        <v>0</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row>
    <row r="107" spans="1:80" x14ac:dyDescent="0.2">
      <c r="A107">
        <v>0</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row>
    <row r="108" spans="1:80" x14ac:dyDescent="0.2">
      <c r="A108">
        <v>0</v>
      </c>
      <c r="B108">
        <v>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row>
    <row r="109" spans="1:80" x14ac:dyDescent="0.2">
      <c r="A109">
        <v>0</v>
      </c>
      <c r="B109">
        <v>0</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row>
    <row r="110" spans="1:80" x14ac:dyDescent="0.2">
      <c r="A110">
        <v>0</v>
      </c>
      <c r="B110">
        <v>0</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row>
    <row r="111" spans="1:80" x14ac:dyDescent="0.2">
      <c r="A111">
        <v>0</v>
      </c>
      <c r="B111">
        <v>0</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row>
    <row r="112" spans="1:80" x14ac:dyDescent="0.2">
      <c r="A112">
        <v>0</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row>
    <row r="113" spans="1:80" x14ac:dyDescent="0.2">
      <c r="A113">
        <v>0</v>
      </c>
      <c r="B113">
        <v>0</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row>
    <row r="114" spans="1:80" x14ac:dyDescent="0.2">
      <c r="A114">
        <v>0</v>
      </c>
      <c r="B114">
        <v>0</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row>
    <row r="115" spans="1:80" x14ac:dyDescent="0.2">
      <c r="A115">
        <v>0</v>
      </c>
      <c r="B115">
        <v>0</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row>
    <row r="116" spans="1:80" x14ac:dyDescent="0.2">
      <c r="A116">
        <v>0</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row>
    <row r="117" spans="1:80" x14ac:dyDescent="0.2">
      <c r="A117">
        <v>0</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row>
    <row r="118" spans="1:80" x14ac:dyDescent="0.2">
      <c r="A118">
        <v>0</v>
      </c>
      <c r="B118">
        <v>0</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row>
    <row r="119" spans="1:80" x14ac:dyDescent="0.2">
      <c r="A119">
        <v>0</v>
      </c>
      <c r="B119">
        <v>0</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row>
    <row r="120" spans="1:80" x14ac:dyDescent="0.2">
      <c r="A120">
        <v>0</v>
      </c>
      <c r="B120">
        <v>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row>
    <row r="121" spans="1:80" x14ac:dyDescent="0.2">
      <c r="A121">
        <v>0</v>
      </c>
      <c r="B121">
        <v>0</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row>
    <row r="122" spans="1:80" x14ac:dyDescent="0.2">
      <c r="A122">
        <v>0</v>
      </c>
      <c r="B122">
        <v>0</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row>
    <row r="123" spans="1:80" x14ac:dyDescent="0.2">
      <c r="A123">
        <v>0</v>
      </c>
      <c r="B123">
        <v>0</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row>
    <row r="124" spans="1:80" x14ac:dyDescent="0.2">
      <c r="A124">
        <v>0</v>
      </c>
      <c r="B124">
        <v>0</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row>
    <row r="125" spans="1:80" x14ac:dyDescent="0.2">
      <c r="A125">
        <v>0</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row>
    <row r="126" spans="1:80" x14ac:dyDescent="0.2">
      <c r="A126">
        <v>0</v>
      </c>
      <c r="B126">
        <v>0</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row>
    <row r="127" spans="1:80" x14ac:dyDescent="0.2">
      <c r="A127">
        <v>0</v>
      </c>
      <c r="B127">
        <v>0</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row>
    <row r="128" spans="1:80" x14ac:dyDescent="0.2">
      <c r="A128">
        <v>0</v>
      </c>
      <c r="B128">
        <v>0</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row>
    <row r="129" spans="1:80" x14ac:dyDescent="0.2">
      <c r="A129">
        <v>0</v>
      </c>
      <c r="B129">
        <v>0</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0</v>
      </c>
    </row>
    <row r="130" spans="1:80" x14ac:dyDescent="0.2">
      <c r="A130">
        <v>0</v>
      </c>
      <c r="B130">
        <v>0</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row>
    <row r="131" spans="1:80" x14ac:dyDescent="0.2">
      <c r="A131">
        <v>0</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row>
    <row r="132" spans="1:80" x14ac:dyDescent="0.2">
      <c r="A132">
        <v>0</v>
      </c>
      <c r="B132">
        <v>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row>
    <row r="133" spans="1:80" x14ac:dyDescent="0.2">
      <c r="A133">
        <v>0</v>
      </c>
      <c r="B133">
        <v>0</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row>
    <row r="134" spans="1:80" x14ac:dyDescent="0.2">
      <c r="A134">
        <v>0</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row>
    <row r="135" spans="1:80" x14ac:dyDescent="0.2">
      <c r="A135">
        <v>0</v>
      </c>
      <c r="B135">
        <v>0</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row>
    <row r="136" spans="1:80" x14ac:dyDescent="0.2">
      <c r="A136">
        <v>0</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row>
    <row r="137" spans="1:80" x14ac:dyDescent="0.2">
      <c r="A137">
        <v>0</v>
      </c>
      <c r="B137">
        <v>0</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row>
    <row r="138" spans="1:80" x14ac:dyDescent="0.2">
      <c r="A138">
        <v>0</v>
      </c>
      <c r="B138">
        <v>0</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row>
    <row r="139" spans="1:80" x14ac:dyDescent="0.2">
      <c r="A139">
        <v>0</v>
      </c>
      <c r="B139">
        <v>0</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row>
    <row r="140" spans="1:80" x14ac:dyDescent="0.2">
      <c r="A140">
        <v>0</v>
      </c>
      <c r="B140">
        <v>0</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row>
    <row r="141" spans="1:80" x14ac:dyDescent="0.2">
      <c r="A141">
        <v>0</v>
      </c>
      <c r="B141">
        <v>0</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v>
      </c>
      <c r="BU141">
        <v>0</v>
      </c>
      <c r="BV141">
        <v>0</v>
      </c>
      <c r="BW141">
        <v>0</v>
      </c>
      <c r="BX141">
        <v>0</v>
      </c>
      <c r="BY141">
        <v>0</v>
      </c>
      <c r="BZ141">
        <v>0</v>
      </c>
      <c r="CA141">
        <v>0</v>
      </c>
      <c r="CB141">
        <v>0</v>
      </c>
    </row>
    <row r="142" spans="1:80" x14ac:dyDescent="0.2">
      <c r="A142">
        <v>0</v>
      </c>
      <c r="B142">
        <v>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c r="BZ142">
        <v>0</v>
      </c>
      <c r="CA142">
        <v>0</v>
      </c>
      <c r="CB142">
        <v>0</v>
      </c>
    </row>
    <row r="143" spans="1:80" x14ac:dyDescent="0.2">
      <c r="A143">
        <v>0</v>
      </c>
      <c r="B143">
        <v>0</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row>
    <row r="144" spans="1:80" x14ac:dyDescent="0.2">
      <c r="A144">
        <v>0</v>
      </c>
      <c r="B144">
        <v>0</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c r="BZ144">
        <v>0</v>
      </c>
      <c r="CA144">
        <v>0</v>
      </c>
      <c r="CB144">
        <v>0</v>
      </c>
    </row>
    <row r="145" spans="1:80" x14ac:dyDescent="0.2">
      <c r="A145">
        <v>0</v>
      </c>
      <c r="B145">
        <v>0</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c r="BZ145">
        <v>0</v>
      </c>
      <c r="CA145">
        <v>0</v>
      </c>
      <c r="CB145">
        <v>0</v>
      </c>
    </row>
    <row r="146" spans="1:80" x14ac:dyDescent="0.2">
      <c r="A146">
        <v>0</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row>
    <row r="147" spans="1:80" x14ac:dyDescent="0.2">
      <c r="A147">
        <v>0</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c r="BZ147">
        <v>0</v>
      </c>
      <c r="CA147">
        <v>0</v>
      </c>
      <c r="CB147">
        <v>0</v>
      </c>
    </row>
    <row r="148" spans="1:80" x14ac:dyDescent="0.2">
      <c r="A148">
        <v>0</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row>
    <row r="149" spans="1:80" x14ac:dyDescent="0.2">
      <c r="A149">
        <v>0</v>
      </c>
      <c r="B149">
        <v>0</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row>
    <row r="150" spans="1:80" x14ac:dyDescent="0.2">
      <c r="A150">
        <v>0</v>
      </c>
      <c r="B150">
        <v>0</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row>
    <row r="151" spans="1:80" x14ac:dyDescent="0.2">
      <c r="A151">
        <v>0</v>
      </c>
      <c r="B151">
        <v>0</v>
      </c>
      <c r="C151">
        <v>0</v>
      </c>
      <c r="D151">
        <v>0</v>
      </c>
      <c r="E151">
        <v>0</v>
      </c>
      <c r="F151">
        <v>0</v>
      </c>
      <c r="G151">
        <v>0</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row>
    <row r="152" spans="1:80" x14ac:dyDescent="0.2">
      <c r="A152">
        <v>0</v>
      </c>
      <c r="B152">
        <v>0</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row>
    <row r="153" spans="1:80" x14ac:dyDescent="0.2">
      <c r="A153">
        <v>0</v>
      </c>
      <c r="B153">
        <v>0</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row>
    <row r="154" spans="1:80" x14ac:dyDescent="0.2">
      <c r="A154">
        <v>0</v>
      </c>
      <c r="B154">
        <v>0</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row>
    <row r="155" spans="1:80" x14ac:dyDescent="0.2">
      <c r="A155">
        <v>0</v>
      </c>
      <c r="B155">
        <v>0</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row>
    <row r="156" spans="1:80" x14ac:dyDescent="0.2">
      <c r="A156">
        <v>0</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row>
    <row r="157" spans="1:80" x14ac:dyDescent="0.2">
      <c r="A157">
        <v>0</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row>
    <row r="158" spans="1:80" x14ac:dyDescent="0.2">
      <c r="A158">
        <v>0</v>
      </c>
      <c r="B158">
        <v>0</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row>
    <row r="159" spans="1:80" x14ac:dyDescent="0.2">
      <c r="A159">
        <v>0</v>
      </c>
      <c r="B159">
        <v>0</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row>
    <row r="160" spans="1:80" x14ac:dyDescent="0.2">
      <c r="A160">
        <v>0</v>
      </c>
      <c r="B160">
        <v>0</v>
      </c>
      <c r="C160">
        <v>0</v>
      </c>
      <c r="D160">
        <v>0</v>
      </c>
      <c r="E160">
        <v>0</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0</v>
      </c>
      <c r="BO160">
        <v>0</v>
      </c>
      <c r="BP160">
        <v>0</v>
      </c>
      <c r="BQ160">
        <v>0</v>
      </c>
      <c r="BR160">
        <v>0</v>
      </c>
      <c r="BS160">
        <v>0</v>
      </c>
      <c r="BT160">
        <v>0</v>
      </c>
      <c r="BU160">
        <v>0</v>
      </c>
      <c r="BV160">
        <v>0</v>
      </c>
      <c r="BW160">
        <v>0</v>
      </c>
      <c r="BX160">
        <v>0</v>
      </c>
      <c r="BY160">
        <v>0</v>
      </c>
      <c r="BZ160">
        <v>0</v>
      </c>
      <c r="CA160">
        <v>0</v>
      </c>
      <c r="CB160">
        <v>0</v>
      </c>
    </row>
    <row r="161" spans="1:80" x14ac:dyDescent="0.2">
      <c r="A161">
        <v>0</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row>
    <row r="162" spans="1:80" x14ac:dyDescent="0.2">
      <c r="A162">
        <v>0</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0</v>
      </c>
      <c r="BU162">
        <v>0</v>
      </c>
      <c r="BV162">
        <v>0</v>
      </c>
      <c r="BW162">
        <v>0</v>
      </c>
      <c r="BX162">
        <v>0</v>
      </c>
      <c r="BY162">
        <v>0</v>
      </c>
      <c r="BZ162">
        <v>0</v>
      </c>
      <c r="CA162">
        <v>0</v>
      </c>
      <c r="CB162">
        <v>0</v>
      </c>
    </row>
    <row r="163" spans="1:80" x14ac:dyDescent="0.2">
      <c r="A163">
        <v>0</v>
      </c>
      <c r="B163">
        <v>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row>
    <row r="164" spans="1:80" x14ac:dyDescent="0.2">
      <c r="A164">
        <v>0</v>
      </c>
      <c r="B164">
        <v>0</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row>
    <row r="165" spans="1:80" x14ac:dyDescent="0.2">
      <c r="A165">
        <v>0</v>
      </c>
      <c r="B165">
        <v>0</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row>
    <row r="166" spans="1:80" x14ac:dyDescent="0.2">
      <c r="A166">
        <v>0</v>
      </c>
      <c r="B166">
        <v>0</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row>
    <row r="167" spans="1:80" x14ac:dyDescent="0.2">
      <c r="A167">
        <v>0</v>
      </c>
      <c r="B167">
        <v>0</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row>
    <row r="168" spans="1:80" x14ac:dyDescent="0.2">
      <c r="A168">
        <v>0</v>
      </c>
      <c r="B168">
        <v>0</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row>
    <row r="169" spans="1:80" x14ac:dyDescent="0.2">
      <c r="A169">
        <v>0</v>
      </c>
      <c r="B169">
        <v>0</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row>
    <row r="170" spans="1:80" x14ac:dyDescent="0.2">
      <c r="A170">
        <v>0</v>
      </c>
      <c r="B170">
        <v>0</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row>
    <row r="171" spans="1:80" x14ac:dyDescent="0.2">
      <c r="A171">
        <v>0</v>
      </c>
      <c r="B171">
        <v>0</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row>
    <row r="172" spans="1:80" x14ac:dyDescent="0.2">
      <c r="A172">
        <v>0</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row>
    <row r="174" spans="1:80" x14ac:dyDescent="0.2">
      <c r="A174" s="11" t="s">
        <v>50</v>
      </c>
    </row>
    <row r="175" spans="1:80" x14ac:dyDescent="0.2">
      <c r="A175">
        <f t="array" ref="A175:CB254">MMULT(_motor!$A$11:$CB$90,_motor!$A$11:$CB$90)</f>
        <v>0</v>
      </c>
      <c r="B175">
        <v>0</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row>
    <row r="176" spans="1:80" x14ac:dyDescent="0.2">
      <c r="A176">
        <v>0</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row>
    <row r="177" spans="1:80" x14ac:dyDescent="0.2">
      <c r="A177">
        <v>0</v>
      </c>
      <c r="B177">
        <v>0</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c r="BW177">
        <v>0</v>
      </c>
      <c r="BX177">
        <v>0</v>
      </c>
      <c r="BY177">
        <v>0</v>
      </c>
      <c r="BZ177">
        <v>0</v>
      </c>
      <c r="CA177">
        <v>0</v>
      </c>
      <c r="CB177">
        <v>0</v>
      </c>
    </row>
    <row r="178" spans="1:80" x14ac:dyDescent="0.2">
      <c r="A178">
        <v>0</v>
      </c>
      <c r="B178">
        <v>0</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row>
    <row r="179" spans="1:80" x14ac:dyDescent="0.2">
      <c r="A179">
        <v>0</v>
      </c>
      <c r="B179">
        <v>0</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row>
    <row r="180" spans="1:80" x14ac:dyDescent="0.2">
      <c r="A180">
        <v>0</v>
      </c>
      <c r="B180">
        <v>0</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row>
    <row r="181" spans="1:80" x14ac:dyDescent="0.2">
      <c r="A181">
        <v>0</v>
      </c>
      <c r="B181">
        <v>0</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row>
    <row r="182" spans="1:80" x14ac:dyDescent="0.2">
      <c r="A182">
        <v>0</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0</v>
      </c>
      <c r="BO182">
        <v>0</v>
      </c>
      <c r="BP182">
        <v>0</v>
      </c>
      <c r="BQ182">
        <v>0</v>
      </c>
      <c r="BR182">
        <v>0</v>
      </c>
      <c r="BS182">
        <v>0</v>
      </c>
      <c r="BT182">
        <v>0</v>
      </c>
      <c r="BU182">
        <v>0</v>
      </c>
      <c r="BV182">
        <v>0</v>
      </c>
      <c r="BW182">
        <v>0</v>
      </c>
      <c r="BX182">
        <v>0</v>
      </c>
      <c r="BY182">
        <v>0</v>
      </c>
      <c r="BZ182">
        <v>0</v>
      </c>
      <c r="CA182">
        <v>0</v>
      </c>
      <c r="CB182">
        <v>0</v>
      </c>
    </row>
    <row r="183" spans="1:80" x14ac:dyDescent="0.2">
      <c r="A183">
        <v>0</v>
      </c>
      <c r="B183">
        <v>0</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0</v>
      </c>
    </row>
    <row r="184" spans="1:80" x14ac:dyDescent="0.2">
      <c r="A184">
        <v>0</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row>
    <row r="185" spans="1:80" x14ac:dyDescent="0.2">
      <c r="A185">
        <v>0</v>
      </c>
      <c r="B185">
        <v>0</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row>
    <row r="186" spans="1:80" x14ac:dyDescent="0.2">
      <c r="A186">
        <v>0</v>
      </c>
      <c r="B186">
        <v>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row>
    <row r="187" spans="1:80" x14ac:dyDescent="0.2">
      <c r="A187">
        <v>0</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row>
    <row r="188" spans="1:80" x14ac:dyDescent="0.2">
      <c r="A188">
        <v>0</v>
      </c>
      <c r="B188">
        <v>0</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v>0</v>
      </c>
      <c r="CB188">
        <v>0</v>
      </c>
    </row>
    <row r="189" spans="1:80" x14ac:dyDescent="0.2">
      <c r="A189">
        <v>0</v>
      </c>
      <c r="B189">
        <v>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row>
    <row r="190" spans="1:80" x14ac:dyDescent="0.2">
      <c r="A190">
        <v>0</v>
      </c>
      <c r="B190">
        <v>0</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row>
    <row r="191" spans="1:80" x14ac:dyDescent="0.2">
      <c r="A191">
        <v>0</v>
      </c>
      <c r="B191">
        <v>0</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row>
    <row r="192" spans="1:80" x14ac:dyDescent="0.2">
      <c r="A192">
        <v>0</v>
      </c>
      <c r="B192">
        <v>0</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row>
    <row r="193" spans="1:80" x14ac:dyDescent="0.2">
      <c r="A193">
        <v>0</v>
      </c>
      <c r="B193">
        <v>0</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row>
    <row r="194" spans="1:80" x14ac:dyDescent="0.2">
      <c r="A194">
        <v>0</v>
      </c>
      <c r="B194">
        <v>0</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row>
    <row r="195" spans="1:80" x14ac:dyDescent="0.2">
      <c r="A195">
        <v>0</v>
      </c>
      <c r="B195">
        <v>0</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row>
    <row r="196" spans="1:80" x14ac:dyDescent="0.2">
      <c r="A196">
        <v>0</v>
      </c>
      <c r="B196">
        <v>0</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row>
    <row r="197" spans="1:80" x14ac:dyDescent="0.2">
      <c r="A197">
        <v>0</v>
      </c>
      <c r="B197">
        <v>0</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row>
    <row r="198" spans="1:80" x14ac:dyDescent="0.2">
      <c r="A198">
        <v>0</v>
      </c>
      <c r="B198">
        <v>0</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row>
    <row r="199" spans="1:80" x14ac:dyDescent="0.2">
      <c r="A199">
        <v>0</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v>0</v>
      </c>
      <c r="CB199">
        <v>0</v>
      </c>
    </row>
    <row r="200" spans="1:80" x14ac:dyDescent="0.2">
      <c r="A200">
        <v>0</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row>
    <row r="201" spans="1:80" x14ac:dyDescent="0.2">
      <c r="A201">
        <v>0</v>
      </c>
      <c r="B201">
        <v>0</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0</v>
      </c>
      <c r="CA201">
        <v>0</v>
      </c>
      <c r="CB201">
        <v>0</v>
      </c>
    </row>
    <row r="202" spans="1:80" x14ac:dyDescent="0.2">
      <c r="A202">
        <v>0</v>
      </c>
      <c r="B202">
        <v>0</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0</v>
      </c>
      <c r="BU202">
        <v>0</v>
      </c>
      <c r="BV202">
        <v>0</v>
      </c>
      <c r="BW202">
        <v>0</v>
      </c>
      <c r="BX202">
        <v>0</v>
      </c>
      <c r="BY202">
        <v>0</v>
      </c>
      <c r="BZ202">
        <v>0</v>
      </c>
      <c r="CA202">
        <v>0</v>
      </c>
      <c r="CB202">
        <v>0</v>
      </c>
    </row>
    <row r="203" spans="1:80" x14ac:dyDescent="0.2">
      <c r="A203">
        <v>0</v>
      </c>
      <c r="B203">
        <v>0</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row>
    <row r="204" spans="1:80" x14ac:dyDescent="0.2">
      <c r="A204">
        <v>0</v>
      </c>
      <c r="B204">
        <v>0</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0</v>
      </c>
      <c r="BU204">
        <v>0</v>
      </c>
      <c r="BV204">
        <v>0</v>
      </c>
      <c r="BW204">
        <v>0</v>
      </c>
      <c r="BX204">
        <v>0</v>
      </c>
      <c r="BY204">
        <v>0</v>
      </c>
      <c r="BZ204">
        <v>0</v>
      </c>
      <c r="CA204">
        <v>0</v>
      </c>
      <c r="CB204">
        <v>0</v>
      </c>
    </row>
    <row r="205" spans="1:80" x14ac:dyDescent="0.2">
      <c r="A205">
        <v>0</v>
      </c>
      <c r="B205">
        <v>0</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c r="BF205">
        <v>0</v>
      </c>
      <c r="BG205">
        <v>0</v>
      </c>
      <c r="BH205">
        <v>0</v>
      </c>
      <c r="BI205">
        <v>0</v>
      </c>
      <c r="BJ205">
        <v>0</v>
      </c>
      <c r="BK205">
        <v>0</v>
      </c>
      <c r="BL205">
        <v>0</v>
      </c>
      <c r="BM205">
        <v>0</v>
      </c>
      <c r="BN205">
        <v>0</v>
      </c>
      <c r="BO205">
        <v>0</v>
      </c>
      <c r="BP205">
        <v>0</v>
      </c>
      <c r="BQ205">
        <v>0</v>
      </c>
      <c r="BR205">
        <v>0</v>
      </c>
      <c r="BS205">
        <v>0</v>
      </c>
      <c r="BT205">
        <v>0</v>
      </c>
      <c r="BU205">
        <v>0</v>
      </c>
      <c r="BV205">
        <v>0</v>
      </c>
      <c r="BW205">
        <v>0</v>
      </c>
      <c r="BX205">
        <v>0</v>
      </c>
      <c r="BY205">
        <v>0</v>
      </c>
      <c r="BZ205">
        <v>0</v>
      </c>
      <c r="CA205">
        <v>0</v>
      </c>
      <c r="CB205">
        <v>0</v>
      </c>
    </row>
    <row r="206" spans="1:80" x14ac:dyDescent="0.2">
      <c r="A206">
        <v>0</v>
      </c>
      <c r="B206">
        <v>0</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c r="BG206">
        <v>0</v>
      </c>
      <c r="BH206">
        <v>0</v>
      </c>
      <c r="BI206">
        <v>0</v>
      </c>
      <c r="BJ206">
        <v>0</v>
      </c>
      <c r="BK206">
        <v>0</v>
      </c>
      <c r="BL206">
        <v>0</v>
      </c>
      <c r="BM206">
        <v>0</v>
      </c>
      <c r="BN206">
        <v>0</v>
      </c>
      <c r="BO206">
        <v>0</v>
      </c>
      <c r="BP206">
        <v>0</v>
      </c>
      <c r="BQ206">
        <v>0</v>
      </c>
      <c r="BR206">
        <v>0</v>
      </c>
      <c r="BS206">
        <v>0</v>
      </c>
      <c r="BT206">
        <v>0</v>
      </c>
      <c r="BU206">
        <v>0</v>
      </c>
      <c r="BV206">
        <v>0</v>
      </c>
      <c r="BW206">
        <v>0</v>
      </c>
      <c r="BX206">
        <v>0</v>
      </c>
      <c r="BY206">
        <v>0</v>
      </c>
      <c r="BZ206">
        <v>0</v>
      </c>
      <c r="CA206">
        <v>0</v>
      </c>
      <c r="CB206">
        <v>0</v>
      </c>
    </row>
    <row r="207" spans="1:80" x14ac:dyDescent="0.2">
      <c r="A207">
        <v>0</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c r="BW207">
        <v>0</v>
      </c>
      <c r="BX207">
        <v>0</v>
      </c>
      <c r="BY207">
        <v>0</v>
      </c>
      <c r="BZ207">
        <v>0</v>
      </c>
      <c r="CA207">
        <v>0</v>
      </c>
      <c r="CB207">
        <v>0</v>
      </c>
    </row>
    <row r="208" spans="1:80" x14ac:dyDescent="0.2">
      <c r="A208">
        <v>0</v>
      </c>
      <c r="B208">
        <v>0</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0</v>
      </c>
    </row>
    <row r="209" spans="1:80" x14ac:dyDescent="0.2">
      <c r="A209">
        <v>0</v>
      </c>
      <c r="B209">
        <v>0</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row>
    <row r="210" spans="1:80" x14ac:dyDescent="0.2">
      <c r="A210">
        <v>0</v>
      </c>
      <c r="B210">
        <v>0</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0</v>
      </c>
      <c r="CA210">
        <v>0</v>
      </c>
      <c r="CB210">
        <v>0</v>
      </c>
    </row>
    <row r="211" spans="1:80" x14ac:dyDescent="0.2">
      <c r="A211">
        <v>0</v>
      </c>
      <c r="B211">
        <v>0</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row>
    <row r="212" spans="1:80" x14ac:dyDescent="0.2">
      <c r="A212">
        <v>0</v>
      </c>
      <c r="B212">
        <v>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row>
    <row r="213" spans="1:80" x14ac:dyDescent="0.2">
      <c r="A213">
        <v>0</v>
      </c>
      <c r="B213">
        <v>0</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row>
    <row r="214" spans="1:80" x14ac:dyDescent="0.2">
      <c r="A214">
        <v>0</v>
      </c>
      <c r="B214">
        <v>0</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v>0</v>
      </c>
      <c r="CB214">
        <v>0</v>
      </c>
    </row>
    <row r="215" spans="1:80" x14ac:dyDescent="0.2">
      <c r="A215">
        <v>0</v>
      </c>
      <c r="B215">
        <v>0</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row>
    <row r="216" spans="1:80" x14ac:dyDescent="0.2">
      <c r="A216">
        <v>0</v>
      </c>
      <c r="B216">
        <v>0</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J216">
        <v>0</v>
      </c>
      <c r="BK216">
        <v>0</v>
      </c>
      <c r="BL216">
        <v>0</v>
      </c>
      <c r="BM216">
        <v>0</v>
      </c>
      <c r="BN216">
        <v>0</v>
      </c>
      <c r="BO216">
        <v>0</v>
      </c>
      <c r="BP216">
        <v>0</v>
      </c>
      <c r="BQ216">
        <v>0</v>
      </c>
      <c r="BR216">
        <v>0</v>
      </c>
      <c r="BS216">
        <v>0</v>
      </c>
      <c r="BT216">
        <v>0</v>
      </c>
      <c r="BU216">
        <v>0</v>
      </c>
      <c r="BV216">
        <v>0</v>
      </c>
      <c r="BW216">
        <v>0</v>
      </c>
      <c r="BX216">
        <v>0</v>
      </c>
      <c r="BY216">
        <v>0</v>
      </c>
      <c r="BZ216">
        <v>0</v>
      </c>
      <c r="CA216">
        <v>0</v>
      </c>
      <c r="CB216">
        <v>0</v>
      </c>
    </row>
    <row r="217" spans="1:80" x14ac:dyDescent="0.2">
      <c r="A217">
        <v>0</v>
      </c>
      <c r="B217">
        <v>0</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c r="BY217">
        <v>0</v>
      </c>
      <c r="BZ217">
        <v>0</v>
      </c>
      <c r="CA217">
        <v>0</v>
      </c>
      <c r="CB217">
        <v>0</v>
      </c>
    </row>
    <row r="218" spans="1:80" x14ac:dyDescent="0.2">
      <c r="A218">
        <v>0</v>
      </c>
      <c r="B218">
        <v>0</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row>
    <row r="219" spans="1:80" x14ac:dyDescent="0.2">
      <c r="A219">
        <v>0</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0</v>
      </c>
      <c r="BT219">
        <v>0</v>
      </c>
      <c r="BU219">
        <v>0</v>
      </c>
      <c r="BV219">
        <v>0</v>
      </c>
      <c r="BW219">
        <v>0</v>
      </c>
      <c r="BX219">
        <v>0</v>
      </c>
      <c r="BY219">
        <v>0</v>
      </c>
      <c r="BZ219">
        <v>0</v>
      </c>
      <c r="CA219">
        <v>0</v>
      </c>
      <c r="CB219">
        <v>0</v>
      </c>
    </row>
    <row r="220" spans="1:80" x14ac:dyDescent="0.2">
      <c r="A220">
        <v>0</v>
      </c>
      <c r="B220">
        <v>0</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c r="BZ220">
        <v>0</v>
      </c>
      <c r="CA220">
        <v>0</v>
      </c>
      <c r="CB220">
        <v>0</v>
      </c>
    </row>
    <row r="221" spans="1:80" x14ac:dyDescent="0.2">
      <c r="A221">
        <v>0</v>
      </c>
      <c r="B221">
        <v>0</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row>
    <row r="222" spans="1:80" x14ac:dyDescent="0.2">
      <c r="A222">
        <v>0</v>
      </c>
      <c r="B222">
        <v>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0</v>
      </c>
      <c r="BO222">
        <v>0</v>
      </c>
      <c r="BP222">
        <v>0</v>
      </c>
      <c r="BQ222">
        <v>0</v>
      </c>
      <c r="BR222">
        <v>0</v>
      </c>
      <c r="BS222">
        <v>0</v>
      </c>
      <c r="BT222">
        <v>0</v>
      </c>
      <c r="BU222">
        <v>0</v>
      </c>
      <c r="BV222">
        <v>0</v>
      </c>
      <c r="BW222">
        <v>0</v>
      </c>
      <c r="BX222">
        <v>0</v>
      </c>
      <c r="BY222">
        <v>0</v>
      </c>
      <c r="BZ222">
        <v>0</v>
      </c>
      <c r="CA222">
        <v>0</v>
      </c>
      <c r="CB222">
        <v>0</v>
      </c>
    </row>
    <row r="223" spans="1:80" x14ac:dyDescent="0.2">
      <c r="A223">
        <v>0</v>
      </c>
      <c r="B223">
        <v>0</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row>
    <row r="224" spans="1:80" x14ac:dyDescent="0.2">
      <c r="A224">
        <v>0</v>
      </c>
      <c r="B224">
        <v>0</v>
      </c>
      <c r="C224">
        <v>0</v>
      </c>
      <c r="D224">
        <v>0</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row>
    <row r="225" spans="1:80" x14ac:dyDescent="0.2">
      <c r="A225">
        <v>0</v>
      </c>
      <c r="B225">
        <v>0</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row>
    <row r="226" spans="1:80" x14ac:dyDescent="0.2">
      <c r="A226">
        <v>0</v>
      </c>
      <c r="B226">
        <v>0</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c r="BS226">
        <v>0</v>
      </c>
      <c r="BT226">
        <v>0</v>
      </c>
      <c r="BU226">
        <v>0</v>
      </c>
      <c r="BV226">
        <v>0</v>
      </c>
      <c r="BW226">
        <v>0</v>
      </c>
      <c r="BX226">
        <v>0</v>
      </c>
      <c r="BY226">
        <v>0</v>
      </c>
      <c r="BZ226">
        <v>0</v>
      </c>
      <c r="CA226">
        <v>0</v>
      </c>
      <c r="CB226">
        <v>0</v>
      </c>
    </row>
    <row r="227" spans="1:80" x14ac:dyDescent="0.2">
      <c r="A227">
        <v>0</v>
      </c>
      <c r="B227">
        <v>0</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row>
    <row r="228" spans="1:80" x14ac:dyDescent="0.2">
      <c r="A228">
        <v>0</v>
      </c>
      <c r="B228">
        <v>0</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c r="BY228">
        <v>0</v>
      </c>
      <c r="BZ228">
        <v>0</v>
      </c>
      <c r="CA228">
        <v>0</v>
      </c>
      <c r="CB228">
        <v>0</v>
      </c>
    </row>
    <row r="229" spans="1:80" x14ac:dyDescent="0.2">
      <c r="A229">
        <v>0</v>
      </c>
      <c r="B229">
        <v>0</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0</v>
      </c>
      <c r="BU229">
        <v>0</v>
      </c>
      <c r="BV229">
        <v>0</v>
      </c>
      <c r="BW229">
        <v>0</v>
      </c>
      <c r="BX229">
        <v>0</v>
      </c>
      <c r="BY229">
        <v>0</v>
      </c>
      <c r="BZ229">
        <v>0</v>
      </c>
      <c r="CA229">
        <v>0</v>
      </c>
      <c r="CB229">
        <v>0</v>
      </c>
    </row>
    <row r="230" spans="1:80" x14ac:dyDescent="0.2">
      <c r="A230">
        <v>0</v>
      </c>
      <c r="B230">
        <v>0</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row>
    <row r="231" spans="1:80" x14ac:dyDescent="0.2">
      <c r="A231">
        <v>0</v>
      </c>
      <c r="B231">
        <v>0</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0</v>
      </c>
      <c r="BU231">
        <v>0</v>
      </c>
      <c r="BV231">
        <v>0</v>
      </c>
      <c r="BW231">
        <v>0</v>
      </c>
      <c r="BX231">
        <v>0</v>
      </c>
      <c r="BY231">
        <v>0</v>
      </c>
      <c r="BZ231">
        <v>0</v>
      </c>
      <c r="CA231">
        <v>0</v>
      </c>
      <c r="CB231">
        <v>0</v>
      </c>
    </row>
    <row r="232" spans="1:80" x14ac:dyDescent="0.2">
      <c r="A232">
        <v>0</v>
      </c>
      <c r="B232">
        <v>0</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0</v>
      </c>
      <c r="CA232">
        <v>0</v>
      </c>
      <c r="CB232">
        <v>0</v>
      </c>
    </row>
    <row r="233" spans="1:80" x14ac:dyDescent="0.2">
      <c r="A233">
        <v>0</v>
      </c>
      <c r="B233">
        <v>0</v>
      </c>
      <c r="C233">
        <v>0</v>
      </c>
      <c r="D233">
        <v>0</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0</v>
      </c>
      <c r="CA233">
        <v>0</v>
      </c>
      <c r="CB233">
        <v>0</v>
      </c>
    </row>
    <row r="234" spans="1:80" x14ac:dyDescent="0.2">
      <c r="A234">
        <v>0</v>
      </c>
      <c r="B234">
        <v>0</v>
      </c>
      <c r="C234">
        <v>0</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row>
    <row r="235" spans="1:80" x14ac:dyDescent="0.2">
      <c r="A235">
        <v>0</v>
      </c>
      <c r="B235">
        <v>0</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F235">
        <v>0</v>
      </c>
      <c r="BG235">
        <v>0</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row>
    <row r="236" spans="1:80" x14ac:dyDescent="0.2">
      <c r="A236">
        <v>0</v>
      </c>
      <c r="B236">
        <v>0</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row>
    <row r="237" spans="1:80" x14ac:dyDescent="0.2">
      <c r="A237">
        <v>0</v>
      </c>
      <c r="B237">
        <v>0</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row>
    <row r="238" spans="1:80" x14ac:dyDescent="0.2">
      <c r="A238">
        <v>0</v>
      </c>
      <c r="B238">
        <v>0</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row>
    <row r="239" spans="1:80" x14ac:dyDescent="0.2">
      <c r="A239">
        <v>0</v>
      </c>
      <c r="B239">
        <v>0</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row>
    <row r="240" spans="1:80" x14ac:dyDescent="0.2">
      <c r="A240">
        <v>0</v>
      </c>
      <c r="B240">
        <v>0</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row>
    <row r="241" spans="1:80" x14ac:dyDescent="0.2">
      <c r="A241">
        <v>0</v>
      </c>
      <c r="B241">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v>0</v>
      </c>
      <c r="CB241">
        <v>0</v>
      </c>
    </row>
    <row r="242" spans="1:80" x14ac:dyDescent="0.2">
      <c r="A242">
        <v>0</v>
      </c>
      <c r="B242">
        <v>0</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c r="BW242">
        <v>0</v>
      </c>
      <c r="BX242">
        <v>0</v>
      </c>
      <c r="BY242">
        <v>0</v>
      </c>
      <c r="BZ242">
        <v>0</v>
      </c>
      <c r="CA242">
        <v>0</v>
      </c>
      <c r="CB242">
        <v>0</v>
      </c>
    </row>
    <row r="243" spans="1:80" x14ac:dyDescent="0.2">
      <c r="A243">
        <v>0</v>
      </c>
      <c r="B243">
        <v>0</v>
      </c>
      <c r="C243">
        <v>0</v>
      </c>
      <c r="D243">
        <v>0</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0</v>
      </c>
      <c r="CA243">
        <v>0</v>
      </c>
      <c r="CB243">
        <v>0</v>
      </c>
    </row>
    <row r="244" spans="1:80" x14ac:dyDescent="0.2">
      <c r="A244">
        <v>0</v>
      </c>
      <c r="B244">
        <v>0</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row>
    <row r="245" spans="1:80" x14ac:dyDescent="0.2">
      <c r="A245">
        <v>0</v>
      </c>
      <c r="B245">
        <v>0</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row>
    <row r="246" spans="1:80" x14ac:dyDescent="0.2">
      <c r="A246">
        <v>0</v>
      </c>
      <c r="B246">
        <v>0</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row>
    <row r="247" spans="1:80" x14ac:dyDescent="0.2">
      <c r="A247">
        <v>0</v>
      </c>
      <c r="B247">
        <v>0</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v>0</v>
      </c>
      <c r="CB247">
        <v>0</v>
      </c>
    </row>
    <row r="248" spans="1:80" x14ac:dyDescent="0.2">
      <c r="A248">
        <v>0</v>
      </c>
      <c r="B248">
        <v>0</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row>
    <row r="249" spans="1:80" x14ac:dyDescent="0.2">
      <c r="A249">
        <v>0</v>
      </c>
      <c r="B249">
        <v>0</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row>
    <row r="250" spans="1:80" x14ac:dyDescent="0.2">
      <c r="A250">
        <v>0</v>
      </c>
      <c r="B250">
        <v>0</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row>
    <row r="251" spans="1:80" x14ac:dyDescent="0.2">
      <c r="A251">
        <v>0</v>
      </c>
      <c r="B251">
        <v>0</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c r="BZ251">
        <v>0</v>
      </c>
      <c r="CA251">
        <v>0</v>
      </c>
      <c r="CB251">
        <v>0</v>
      </c>
    </row>
    <row r="252" spans="1:80" x14ac:dyDescent="0.2">
      <c r="A252">
        <v>0</v>
      </c>
      <c r="B252">
        <v>0</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row>
    <row r="253" spans="1:80" x14ac:dyDescent="0.2">
      <c r="A253">
        <v>0</v>
      </c>
      <c r="B253">
        <v>0</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row>
    <row r="254" spans="1:80" x14ac:dyDescent="0.2">
      <c r="A254">
        <v>0</v>
      </c>
      <c r="B254">
        <v>0</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row>
    <row r="256" spans="1:80" x14ac:dyDescent="0.2">
      <c r="A256" s="11" t="s">
        <v>51</v>
      </c>
    </row>
    <row r="257" spans="1:80" x14ac:dyDescent="0.2">
      <c r="A257">
        <f t="array" ref="A257:CB336">MMULT(_motor!$A$175:$CB$254,_motor!$A$11:$CB$90)</f>
        <v>0</v>
      </c>
      <c r="B257">
        <v>0</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row>
    <row r="258" spans="1:80" x14ac:dyDescent="0.2">
      <c r="A258">
        <v>0</v>
      </c>
      <c r="B258">
        <v>0</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v>0</v>
      </c>
      <c r="BI258">
        <v>0</v>
      </c>
      <c r="BJ258">
        <v>0</v>
      </c>
      <c r="BK258">
        <v>0</v>
      </c>
      <c r="BL258">
        <v>0</v>
      </c>
      <c r="BM258">
        <v>0</v>
      </c>
      <c r="BN258">
        <v>0</v>
      </c>
      <c r="BO258">
        <v>0</v>
      </c>
      <c r="BP258">
        <v>0</v>
      </c>
      <c r="BQ258">
        <v>0</v>
      </c>
      <c r="BR258">
        <v>0</v>
      </c>
      <c r="BS258">
        <v>0</v>
      </c>
      <c r="BT258">
        <v>0</v>
      </c>
      <c r="BU258">
        <v>0</v>
      </c>
      <c r="BV258">
        <v>0</v>
      </c>
      <c r="BW258">
        <v>0</v>
      </c>
      <c r="BX258">
        <v>0</v>
      </c>
      <c r="BY258">
        <v>0</v>
      </c>
      <c r="BZ258">
        <v>0</v>
      </c>
      <c r="CA258">
        <v>0</v>
      </c>
      <c r="CB258">
        <v>0</v>
      </c>
    </row>
    <row r="259" spans="1:80" x14ac:dyDescent="0.2">
      <c r="A259">
        <v>0</v>
      </c>
      <c r="B259">
        <v>0</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c r="BY259">
        <v>0</v>
      </c>
      <c r="BZ259">
        <v>0</v>
      </c>
      <c r="CA259">
        <v>0</v>
      </c>
      <c r="CB259">
        <v>0</v>
      </c>
    </row>
    <row r="260" spans="1:80" x14ac:dyDescent="0.2">
      <c r="A260">
        <v>0</v>
      </c>
      <c r="B260">
        <v>0</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0</v>
      </c>
      <c r="BU260">
        <v>0</v>
      </c>
      <c r="BV260">
        <v>0</v>
      </c>
      <c r="BW260">
        <v>0</v>
      </c>
      <c r="BX260">
        <v>0</v>
      </c>
      <c r="BY260">
        <v>0</v>
      </c>
      <c r="BZ260">
        <v>0</v>
      </c>
      <c r="CA260">
        <v>0</v>
      </c>
      <c r="CB260">
        <v>0</v>
      </c>
    </row>
    <row r="261" spans="1:80" x14ac:dyDescent="0.2">
      <c r="A261">
        <v>0</v>
      </c>
      <c r="B261">
        <v>0</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row>
    <row r="262" spans="1:80" x14ac:dyDescent="0.2">
      <c r="A262">
        <v>0</v>
      </c>
      <c r="B262">
        <v>0</v>
      </c>
      <c r="C262">
        <v>0</v>
      </c>
      <c r="D262">
        <v>0</v>
      </c>
      <c r="E262">
        <v>0</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row>
    <row r="263" spans="1:80" x14ac:dyDescent="0.2">
      <c r="A263">
        <v>0</v>
      </c>
      <c r="B263">
        <v>0</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row>
    <row r="264" spans="1:80" x14ac:dyDescent="0.2">
      <c r="A264">
        <v>0</v>
      </c>
      <c r="B264">
        <v>0</v>
      </c>
      <c r="C264">
        <v>0</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row>
    <row r="265" spans="1:80" x14ac:dyDescent="0.2">
      <c r="A265">
        <v>0</v>
      </c>
      <c r="B265">
        <v>0</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c r="BZ265">
        <v>0</v>
      </c>
      <c r="CA265">
        <v>0</v>
      </c>
      <c r="CB265">
        <v>0</v>
      </c>
    </row>
    <row r="266" spans="1:80" x14ac:dyDescent="0.2">
      <c r="A266">
        <v>0</v>
      </c>
      <c r="B266">
        <v>0</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row>
    <row r="267" spans="1:80" x14ac:dyDescent="0.2">
      <c r="A267">
        <v>0</v>
      </c>
      <c r="B267">
        <v>0</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c r="BZ267">
        <v>0</v>
      </c>
      <c r="CA267">
        <v>0</v>
      </c>
      <c r="CB267">
        <v>0</v>
      </c>
    </row>
    <row r="268" spans="1:80" x14ac:dyDescent="0.2">
      <c r="A268">
        <v>0</v>
      </c>
      <c r="B268">
        <v>0</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0</v>
      </c>
      <c r="BU268">
        <v>0</v>
      </c>
      <c r="BV268">
        <v>0</v>
      </c>
      <c r="BW268">
        <v>0</v>
      </c>
      <c r="BX268">
        <v>0</v>
      </c>
      <c r="BY268">
        <v>0</v>
      </c>
      <c r="BZ268">
        <v>0</v>
      </c>
      <c r="CA268">
        <v>0</v>
      </c>
      <c r="CB268">
        <v>0</v>
      </c>
    </row>
    <row r="269" spans="1:80" x14ac:dyDescent="0.2">
      <c r="A269">
        <v>0</v>
      </c>
      <c r="B269">
        <v>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0</v>
      </c>
      <c r="BU269">
        <v>0</v>
      </c>
      <c r="BV269">
        <v>0</v>
      </c>
      <c r="BW269">
        <v>0</v>
      </c>
      <c r="BX269">
        <v>0</v>
      </c>
      <c r="BY269">
        <v>0</v>
      </c>
      <c r="BZ269">
        <v>0</v>
      </c>
      <c r="CA269">
        <v>0</v>
      </c>
      <c r="CB269">
        <v>0</v>
      </c>
    </row>
    <row r="270" spans="1:80" x14ac:dyDescent="0.2">
      <c r="A270">
        <v>0</v>
      </c>
      <c r="B270">
        <v>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0</v>
      </c>
      <c r="CA270">
        <v>0</v>
      </c>
      <c r="CB270">
        <v>0</v>
      </c>
    </row>
    <row r="271" spans="1:80" x14ac:dyDescent="0.2">
      <c r="A271">
        <v>0</v>
      </c>
      <c r="B271">
        <v>0</v>
      </c>
      <c r="C271">
        <v>0</v>
      </c>
      <c r="D271">
        <v>0</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row>
    <row r="272" spans="1:80" x14ac:dyDescent="0.2">
      <c r="A272">
        <v>0</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row>
    <row r="273" spans="1:80" x14ac:dyDescent="0.2">
      <c r="A273">
        <v>0</v>
      </c>
      <c r="B273">
        <v>0</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row>
    <row r="274" spans="1:80" x14ac:dyDescent="0.2">
      <c r="A274">
        <v>0</v>
      </c>
      <c r="B274">
        <v>0</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c r="BZ274">
        <v>0</v>
      </c>
      <c r="CA274">
        <v>0</v>
      </c>
      <c r="CB274">
        <v>0</v>
      </c>
    </row>
    <row r="275" spans="1:80" x14ac:dyDescent="0.2">
      <c r="A275">
        <v>0</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c r="BZ275">
        <v>0</v>
      </c>
      <c r="CA275">
        <v>0</v>
      </c>
      <c r="CB275">
        <v>0</v>
      </c>
    </row>
    <row r="276" spans="1:80" x14ac:dyDescent="0.2">
      <c r="A276">
        <v>0</v>
      </c>
      <c r="B276">
        <v>0</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0</v>
      </c>
      <c r="BU276">
        <v>0</v>
      </c>
      <c r="BV276">
        <v>0</v>
      </c>
      <c r="BW276">
        <v>0</v>
      </c>
      <c r="BX276">
        <v>0</v>
      </c>
      <c r="BY276">
        <v>0</v>
      </c>
      <c r="BZ276">
        <v>0</v>
      </c>
      <c r="CA276">
        <v>0</v>
      </c>
      <c r="CB276">
        <v>0</v>
      </c>
    </row>
    <row r="277" spans="1:80" x14ac:dyDescent="0.2">
      <c r="A277">
        <v>0</v>
      </c>
      <c r="B277">
        <v>0</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0</v>
      </c>
      <c r="CA277">
        <v>0</v>
      </c>
      <c r="CB277">
        <v>0</v>
      </c>
    </row>
    <row r="278" spans="1:80" x14ac:dyDescent="0.2">
      <c r="A278">
        <v>0</v>
      </c>
      <c r="B278">
        <v>0</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0</v>
      </c>
      <c r="CA278">
        <v>0</v>
      </c>
      <c r="CB278">
        <v>0</v>
      </c>
    </row>
    <row r="279" spans="1:80" x14ac:dyDescent="0.2">
      <c r="A279">
        <v>0</v>
      </c>
      <c r="B279">
        <v>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row>
    <row r="280" spans="1:80" x14ac:dyDescent="0.2">
      <c r="A280">
        <v>0</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row>
    <row r="281" spans="1:80" x14ac:dyDescent="0.2">
      <c r="A281">
        <v>0</v>
      </c>
      <c r="B281">
        <v>0</v>
      </c>
      <c r="C281">
        <v>0</v>
      </c>
      <c r="D281">
        <v>0</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row>
    <row r="282" spans="1:80" x14ac:dyDescent="0.2">
      <c r="A282">
        <v>0</v>
      </c>
      <c r="B282">
        <v>0</v>
      </c>
      <c r="C282">
        <v>0</v>
      </c>
      <c r="D282">
        <v>0</v>
      </c>
      <c r="E282">
        <v>0</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0</v>
      </c>
      <c r="BU282">
        <v>0</v>
      </c>
      <c r="BV282">
        <v>0</v>
      </c>
      <c r="BW282">
        <v>0</v>
      </c>
      <c r="BX282">
        <v>0</v>
      </c>
      <c r="BY282">
        <v>0</v>
      </c>
      <c r="BZ282">
        <v>0</v>
      </c>
      <c r="CA282">
        <v>0</v>
      </c>
      <c r="CB282">
        <v>0</v>
      </c>
    </row>
    <row r="283" spans="1:80" x14ac:dyDescent="0.2">
      <c r="A283">
        <v>0</v>
      </c>
      <c r="B283">
        <v>0</v>
      </c>
      <c r="C283">
        <v>0</v>
      </c>
      <c r="D283">
        <v>0</v>
      </c>
      <c r="E283">
        <v>0</v>
      </c>
      <c r="F283">
        <v>0</v>
      </c>
      <c r="G283">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row>
    <row r="284" spans="1:80" x14ac:dyDescent="0.2">
      <c r="A284">
        <v>0</v>
      </c>
      <c r="B284">
        <v>0</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row>
    <row r="285" spans="1:80" x14ac:dyDescent="0.2">
      <c r="A285">
        <v>0</v>
      </c>
      <c r="B285">
        <v>0</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row>
    <row r="286" spans="1:80" x14ac:dyDescent="0.2">
      <c r="A286">
        <v>0</v>
      </c>
      <c r="B286">
        <v>0</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0</v>
      </c>
      <c r="CA286">
        <v>0</v>
      </c>
      <c r="CB286">
        <v>0</v>
      </c>
    </row>
    <row r="287" spans="1:80" x14ac:dyDescent="0.2">
      <c r="A287">
        <v>0</v>
      </c>
      <c r="B287">
        <v>0</v>
      </c>
      <c r="C287">
        <v>0</v>
      </c>
      <c r="D287">
        <v>0</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row>
    <row r="288" spans="1:80" x14ac:dyDescent="0.2">
      <c r="A288">
        <v>0</v>
      </c>
      <c r="B288">
        <v>0</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row>
    <row r="289" spans="1:80" x14ac:dyDescent="0.2">
      <c r="A289">
        <v>0</v>
      </c>
      <c r="B289">
        <v>0</v>
      </c>
      <c r="C289">
        <v>0</v>
      </c>
      <c r="D289">
        <v>0</v>
      </c>
      <c r="E289">
        <v>0</v>
      </c>
      <c r="F289">
        <v>0</v>
      </c>
      <c r="G289">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0</v>
      </c>
      <c r="BU289">
        <v>0</v>
      </c>
      <c r="BV289">
        <v>0</v>
      </c>
      <c r="BW289">
        <v>0</v>
      </c>
      <c r="BX289">
        <v>0</v>
      </c>
      <c r="BY289">
        <v>0</v>
      </c>
      <c r="BZ289">
        <v>0</v>
      </c>
      <c r="CA289">
        <v>0</v>
      </c>
      <c r="CB289">
        <v>0</v>
      </c>
    </row>
    <row r="290" spans="1:80" x14ac:dyDescent="0.2">
      <c r="A290">
        <v>0</v>
      </c>
      <c r="B290">
        <v>0</v>
      </c>
      <c r="C290">
        <v>0</v>
      </c>
      <c r="D290">
        <v>0</v>
      </c>
      <c r="E290">
        <v>0</v>
      </c>
      <c r="F290">
        <v>0</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0</v>
      </c>
      <c r="BO290">
        <v>0</v>
      </c>
      <c r="BP290">
        <v>0</v>
      </c>
      <c r="BQ290">
        <v>0</v>
      </c>
      <c r="BR290">
        <v>0</v>
      </c>
      <c r="BS290">
        <v>0</v>
      </c>
      <c r="BT290">
        <v>0</v>
      </c>
      <c r="BU290">
        <v>0</v>
      </c>
      <c r="BV290">
        <v>0</v>
      </c>
      <c r="BW290">
        <v>0</v>
      </c>
      <c r="BX290">
        <v>0</v>
      </c>
      <c r="BY290">
        <v>0</v>
      </c>
      <c r="BZ290">
        <v>0</v>
      </c>
      <c r="CA290">
        <v>0</v>
      </c>
      <c r="CB290">
        <v>0</v>
      </c>
    </row>
    <row r="291" spans="1:80" x14ac:dyDescent="0.2">
      <c r="A291">
        <v>0</v>
      </c>
      <c r="B291">
        <v>0</v>
      </c>
      <c r="C291">
        <v>0</v>
      </c>
      <c r="D291">
        <v>0</v>
      </c>
      <c r="E291">
        <v>0</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row>
    <row r="292" spans="1:80" x14ac:dyDescent="0.2">
      <c r="A292">
        <v>0</v>
      </c>
      <c r="B292">
        <v>0</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c r="BY292">
        <v>0</v>
      </c>
      <c r="BZ292">
        <v>0</v>
      </c>
      <c r="CA292">
        <v>0</v>
      </c>
      <c r="CB292">
        <v>0</v>
      </c>
    </row>
    <row r="293" spans="1:80" x14ac:dyDescent="0.2">
      <c r="A293">
        <v>0</v>
      </c>
      <c r="B293">
        <v>0</v>
      </c>
      <c r="C293">
        <v>0</v>
      </c>
      <c r="D293">
        <v>0</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0</v>
      </c>
      <c r="CA293">
        <v>0</v>
      </c>
      <c r="CB293">
        <v>0</v>
      </c>
    </row>
    <row r="294" spans="1:80" x14ac:dyDescent="0.2">
      <c r="A294">
        <v>0</v>
      </c>
      <c r="B294">
        <v>0</v>
      </c>
      <c r="C294">
        <v>0</v>
      </c>
      <c r="D294">
        <v>0</v>
      </c>
      <c r="E294">
        <v>0</v>
      </c>
      <c r="F294">
        <v>0</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c r="BY294">
        <v>0</v>
      </c>
      <c r="BZ294">
        <v>0</v>
      </c>
      <c r="CA294">
        <v>0</v>
      </c>
      <c r="CB294">
        <v>0</v>
      </c>
    </row>
    <row r="295" spans="1:80" x14ac:dyDescent="0.2">
      <c r="A295">
        <v>0</v>
      </c>
      <c r="B295">
        <v>0</v>
      </c>
      <c r="C295">
        <v>0</v>
      </c>
      <c r="D295">
        <v>0</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row>
    <row r="296" spans="1:80" x14ac:dyDescent="0.2">
      <c r="A296">
        <v>0</v>
      </c>
      <c r="B296">
        <v>0</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row>
    <row r="297" spans="1:80" x14ac:dyDescent="0.2">
      <c r="A297">
        <v>0</v>
      </c>
      <c r="B297">
        <v>0</v>
      </c>
      <c r="C297">
        <v>0</v>
      </c>
      <c r="D297">
        <v>0</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row>
    <row r="298" spans="1:80" x14ac:dyDescent="0.2">
      <c r="A298">
        <v>0</v>
      </c>
      <c r="B298">
        <v>0</v>
      </c>
      <c r="C298">
        <v>0</v>
      </c>
      <c r="D298">
        <v>0</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row>
    <row r="299" spans="1:80" x14ac:dyDescent="0.2">
      <c r="A299">
        <v>0</v>
      </c>
      <c r="B299">
        <v>0</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row>
    <row r="300" spans="1:80" x14ac:dyDescent="0.2">
      <c r="A300">
        <v>0</v>
      </c>
      <c r="B300">
        <v>0</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row>
    <row r="301" spans="1:80" x14ac:dyDescent="0.2">
      <c r="A301">
        <v>0</v>
      </c>
      <c r="B301">
        <v>0</v>
      </c>
      <c r="C301">
        <v>0</v>
      </c>
      <c r="D301">
        <v>0</v>
      </c>
      <c r="E301">
        <v>0</v>
      </c>
      <c r="F301">
        <v>0</v>
      </c>
      <c r="G301">
        <v>0</v>
      </c>
      <c r="H301">
        <v>0</v>
      </c>
      <c r="I301">
        <v>0</v>
      </c>
      <c r="J301">
        <v>0</v>
      </c>
      <c r="K301">
        <v>0</v>
      </c>
      <c r="L301">
        <v>0</v>
      </c>
      <c r="M301">
        <v>0</v>
      </c>
      <c r="N301">
        <v>0</v>
      </c>
      <c r="O301">
        <v>0</v>
      </c>
      <c r="P301">
        <v>0</v>
      </c>
      <c r="Q301">
        <v>0</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row>
    <row r="302" spans="1:80" x14ac:dyDescent="0.2">
      <c r="A302">
        <v>0</v>
      </c>
      <c r="B302">
        <v>0</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row>
    <row r="303" spans="1:80" x14ac:dyDescent="0.2">
      <c r="A303">
        <v>0</v>
      </c>
      <c r="B303">
        <v>0</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row>
    <row r="304" spans="1:80" x14ac:dyDescent="0.2">
      <c r="A304">
        <v>0</v>
      </c>
      <c r="B304">
        <v>0</v>
      </c>
      <c r="C304">
        <v>0</v>
      </c>
      <c r="D304">
        <v>0</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c r="BZ304">
        <v>0</v>
      </c>
      <c r="CA304">
        <v>0</v>
      </c>
      <c r="CB304">
        <v>0</v>
      </c>
    </row>
    <row r="305" spans="1:80" x14ac:dyDescent="0.2">
      <c r="A305">
        <v>0</v>
      </c>
      <c r="B305">
        <v>0</v>
      </c>
      <c r="C305">
        <v>0</v>
      </c>
      <c r="D305">
        <v>0</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v>0</v>
      </c>
      <c r="CB305">
        <v>0</v>
      </c>
    </row>
    <row r="306" spans="1:80" x14ac:dyDescent="0.2">
      <c r="A306">
        <v>0</v>
      </c>
      <c r="B306">
        <v>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row>
    <row r="307" spans="1:80" x14ac:dyDescent="0.2">
      <c r="A307">
        <v>0</v>
      </c>
      <c r="B307">
        <v>0</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row>
    <row r="308" spans="1:80" x14ac:dyDescent="0.2">
      <c r="A308">
        <v>0</v>
      </c>
      <c r="B308">
        <v>0</v>
      </c>
      <c r="C308">
        <v>0</v>
      </c>
      <c r="D308">
        <v>0</v>
      </c>
      <c r="E308">
        <v>0</v>
      </c>
      <c r="F308">
        <v>0</v>
      </c>
      <c r="G308">
        <v>0</v>
      </c>
      <c r="H308">
        <v>0</v>
      </c>
      <c r="I308">
        <v>0</v>
      </c>
      <c r="J308">
        <v>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0</v>
      </c>
    </row>
    <row r="309" spans="1:80" x14ac:dyDescent="0.2">
      <c r="A309">
        <v>0</v>
      </c>
      <c r="B309">
        <v>0</v>
      </c>
      <c r="C309">
        <v>0</v>
      </c>
      <c r="D309">
        <v>0</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c r="BY309">
        <v>0</v>
      </c>
      <c r="BZ309">
        <v>0</v>
      </c>
      <c r="CA309">
        <v>0</v>
      </c>
      <c r="CB309">
        <v>0</v>
      </c>
    </row>
    <row r="310" spans="1:80" x14ac:dyDescent="0.2">
      <c r="A310">
        <v>0</v>
      </c>
      <c r="B310">
        <v>0</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0</v>
      </c>
      <c r="BU310">
        <v>0</v>
      </c>
      <c r="BV310">
        <v>0</v>
      </c>
      <c r="BW310">
        <v>0</v>
      </c>
      <c r="BX310">
        <v>0</v>
      </c>
      <c r="BY310">
        <v>0</v>
      </c>
      <c r="BZ310">
        <v>0</v>
      </c>
      <c r="CA310">
        <v>0</v>
      </c>
      <c r="CB310">
        <v>0</v>
      </c>
    </row>
    <row r="311" spans="1:80" x14ac:dyDescent="0.2">
      <c r="A311">
        <v>0</v>
      </c>
      <c r="B311">
        <v>0</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c r="BS311">
        <v>0</v>
      </c>
      <c r="BT311">
        <v>0</v>
      </c>
      <c r="BU311">
        <v>0</v>
      </c>
      <c r="BV311">
        <v>0</v>
      </c>
      <c r="BW311">
        <v>0</v>
      </c>
      <c r="BX311">
        <v>0</v>
      </c>
      <c r="BY311">
        <v>0</v>
      </c>
      <c r="BZ311">
        <v>0</v>
      </c>
      <c r="CA311">
        <v>0</v>
      </c>
      <c r="CB311">
        <v>0</v>
      </c>
    </row>
    <row r="312" spans="1:80" x14ac:dyDescent="0.2">
      <c r="A312">
        <v>0</v>
      </c>
      <c r="B312">
        <v>0</v>
      </c>
      <c r="C312">
        <v>0</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row>
    <row r="313" spans="1:80" x14ac:dyDescent="0.2">
      <c r="A313">
        <v>0</v>
      </c>
      <c r="B313">
        <v>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0</v>
      </c>
      <c r="BI313">
        <v>0</v>
      </c>
      <c r="BJ313">
        <v>0</v>
      </c>
      <c r="BK313">
        <v>0</v>
      </c>
      <c r="BL313">
        <v>0</v>
      </c>
      <c r="BM313">
        <v>0</v>
      </c>
      <c r="BN313">
        <v>0</v>
      </c>
      <c r="BO313">
        <v>0</v>
      </c>
      <c r="BP313">
        <v>0</v>
      </c>
      <c r="BQ313">
        <v>0</v>
      </c>
      <c r="BR313">
        <v>0</v>
      </c>
      <c r="BS313">
        <v>0</v>
      </c>
      <c r="BT313">
        <v>0</v>
      </c>
      <c r="BU313">
        <v>0</v>
      </c>
      <c r="BV313">
        <v>0</v>
      </c>
      <c r="BW313">
        <v>0</v>
      </c>
      <c r="BX313">
        <v>0</v>
      </c>
      <c r="BY313">
        <v>0</v>
      </c>
      <c r="BZ313">
        <v>0</v>
      </c>
      <c r="CA313">
        <v>0</v>
      </c>
      <c r="CB313">
        <v>0</v>
      </c>
    </row>
    <row r="314" spans="1:80" x14ac:dyDescent="0.2">
      <c r="A314">
        <v>0</v>
      </c>
      <c r="B314">
        <v>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c r="BY314">
        <v>0</v>
      </c>
      <c r="BZ314">
        <v>0</v>
      </c>
      <c r="CA314">
        <v>0</v>
      </c>
      <c r="CB314">
        <v>0</v>
      </c>
    </row>
    <row r="315" spans="1:80" x14ac:dyDescent="0.2">
      <c r="A315">
        <v>0</v>
      </c>
      <c r="B315">
        <v>0</v>
      </c>
      <c r="C315">
        <v>0</v>
      </c>
      <c r="D315">
        <v>0</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c r="BY315">
        <v>0</v>
      </c>
      <c r="BZ315">
        <v>0</v>
      </c>
      <c r="CA315">
        <v>0</v>
      </c>
      <c r="CB315">
        <v>0</v>
      </c>
    </row>
    <row r="316" spans="1:80" x14ac:dyDescent="0.2">
      <c r="A316">
        <v>0</v>
      </c>
      <c r="B316">
        <v>0</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c r="BZ316">
        <v>0</v>
      </c>
      <c r="CA316">
        <v>0</v>
      </c>
      <c r="CB316">
        <v>0</v>
      </c>
    </row>
    <row r="317" spans="1:80" x14ac:dyDescent="0.2">
      <c r="A317">
        <v>0</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c r="BZ317">
        <v>0</v>
      </c>
      <c r="CA317">
        <v>0</v>
      </c>
      <c r="CB317">
        <v>0</v>
      </c>
    </row>
    <row r="318" spans="1:80" x14ac:dyDescent="0.2">
      <c r="A318">
        <v>0</v>
      </c>
      <c r="B318">
        <v>0</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0</v>
      </c>
      <c r="BU318">
        <v>0</v>
      </c>
      <c r="BV318">
        <v>0</v>
      </c>
      <c r="BW318">
        <v>0</v>
      </c>
      <c r="BX318">
        <v>0</v>
      </c>
      <c r="BY318">
        <v>0</v>
      </c>
      <c r="BZ318">
        <v>0</v>
      </c>
      <c r="CA318">
        <v>0</v>
      </c>
      <c r="CB318">
        <v>0</v>
      </c>
    </row>
    <row r="319" spans="1:80" x14ac:dyDescent="0.2">
      <c r="A319">
        <v>0</v>
      </c>
      <c r="B319">
        <v>0</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0</v>
      </c>
      <c r="BP319">
        <v>0</v>
      </c>
      <c r="BQ319">
        <v>0</v>
      </c>
      <c r="BR319">
        <v>0</v>
      </c>
      <c r="BS319">
        <v>0</v>
      </c>
      <c r="BT319">
        <v>0</v>
      </c>
      <c r="BU319">
        <v>0</v>
      </c>
      <c r="BV319">
        <v>0</v>
      </c>
      <c r="BW319">
        <v>0</v>
      </c>
      <c r="BX319">
        <v>0</v>
      </c>
      <c r="BY319">
        <v>0</v>
      </c>
      <c r="BZ319">
        <v>0</v>
      </c>
      <c r="CA319">
        <v>0</v>
      </c>
      <c r="CB319">
        <v>0</v>
      </c>
    </row>
    <row r="320" spans="1:80" x14ac:dyDescent="0.2">
      <c r="A320">
        <v>0</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row>
    <row r="321" spans="1:80" x14ac:dyDescent="0.2">
      <c r="A321">
        <v>0</v>
      </c>
      <c r="B321">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c r="BZ321">
        <v>0</v>
      </c>
      <c r="CA321">
        <v>0</v>
      </c>
      <c r="CB321">
        <v>0</v>
      </c>
    </row>
    <row r="322" spans="1:80" x14ac:dyDescent="0.2">
      <c r="A322">
        <v>0</v>
      </c>
      <c r="B322">
        <v>0</v>
      </c>
      <c r="C322">
        <v>0</v>
      </c>
      <c r="D322">
        <v>0</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0</v>
      </c>
      <c r="BU322">
        <v>0</v>
      </c>
      <c r="BV322">
        <v>0</v>
      </c>
      <c r="BW322">
        <v>0</v>
      </c>
      <c r="BX322">
        <v>0</v>
      </c>
      <c r="BY322">
        <v>0</v>
      </c>
      <c r="BZ322">
        <v>0</v>
      </c>
      <c r="CA322">
        <v>0</v>
      </c>
      <c r="CB322">
        <v>0</v>
      </c>
    </row>
    <row r="323" spans="1:80" x14ac:dyDescent="0.2">
      <c r="A323">
        <v>0</v>
      </c>
      <c r="B323">
        <v>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v>0</v>
      </c>
      <c r="CB323">
        <v>0</v>
      </c>
    </row>
    <row r="324" spans="1:80" x14ac:dyDescent="0.2">
      <c r="A324">
        <v>0</v>
      </c>
      <c r="B324">
        <v>0</v>
      </c>
      <c r="C324">
        <v>0</v>
      </c>
      <c r="D324">
        <v>0</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0</v>
      </c>
      <c r="BT324">
        <v>0</v>
      </c>
      <c r="BU324">
        <v>0</v>
      </c>
      <c r="BV324">
        <v>0</v>
      </c>
      <c r="BW324">
        <v>0</v>
      </c>
      <c r="BX324">
        <v>0</v>
      </c>
      <c r="BY324">
        <v>0</v>
      </c>
      <c r="BZ324">
        <v>0</v>
      </c>
      <c r="CA324">
        <v>0</v>
      </c>
      <c r="CB324">
        <v>0</v>
      </c>
    </row>
    <row r="325" spans="1:80" x14ac:dyDescent="0.2">
      <c r="A325">
        <v>0</v>
      </c>
      <c r="B325">
        <v>0</v>
      </c>
      <c r="C325">
        <v>0</v>
      </c>
      <c r="D325">
        <v>0</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c r="BZ325">
        <v>0</v>
      </c>
      <c r="CA325">
        <v>0</v>
      </c>
      <c r="CB325">
        <v>0</v>
      </c>
    </row>
    <row r="326" spans="1:80" x14ac:dyDescent="0.2">
      <c r="A326">
        <v>0</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c r="BZ326">
        <v>0</v>
      </c>
      <c r="CA326">
        <v>0</v>
      </c>
      <c r="CB326">
        <v>0</v>
      </c>
    </row>
    <row r="327" spans="1:80" x14ac:dyDescent="0.2">
      <c r="A327">
        <v>0</v>
      </c>
      <c r="B327">
        <v>0</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c r="BY327">
        <v>0</v>
      </c>
      <c r="BZ327">
        <v>0</v>
      </c>
      <c r="CA327">
        <v>0</v>
      </c>
      <c r="CB327">
        <v>0</v>
      </c>
    </row>
    <row r="328" spans="1:80" x14ac:dyDescent="0.2">
      <c r="A328">
        <v>0</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0</v>
      </c>
      <c r="BP328">
        <v>0</v>
      </c>
      <c r="BQ328">
        <v>0</v>
      </c>
      <c r="BR328">
        <v>0</v>
      </c>
      <c r="BS328">
        <v>0</v>
      </c>
      <c r="BT328">
        <v>0</v>
      </c>
      <c r="BU328">
        <v>0</v>
      </c>
      <c r="BV328">
        <v>0</v>
      </c>
      <c r="BW328">
        <v>0</v>
      </c>
      <c r="BX328">
        <v>0</v>
      </c>
      <c r="BY328">
        <v>0</v>
      </c>
      <c r="BZ328">
        <v>0</v>
      </c>
      <c r="CA328">
        <v>0</v>
      </c>
      <c r="CB328">
        <v>0</v>
      </c>
    </row>
    <row r="329" spans="1:80" x14ac:dyDescent="0.2">
      <c r="A329">
        <v>0</v>
      </c>
      <c r="B329">
        <v>0</v>
      </c>
      <c r="C329">
        <v>0</v>
      </c>
      <c r="D329">
        <v>0</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c r="BW329">
        <v>0</v>
      </c>
      <c r="BX329">
        <v>0</v>
      </c>
      <c r="BY329">
        <v>0</v>
      </c>
      <c r="BZ329">
        <v>0</v>
      </c>
      <c r="CA329">
        <v>0</v>
      </c>
      <c r="CB329">
        <v>0</v>
      </c>
    </row>
    <row r="330" spans="1:80" x14ac:dyDescent="0.2">
      <c r="A330">
        <v>0</v>
      </c>
      <c r="B330">
        <v>0</v>
      </c>
      <c r="C330">
        <v>0</v>
      </c>
      <c r="D330">
        <v>0</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row>
    <row r="331" spans="1:80" x14ac:dyDescent="0.2">
      <c r="A331">
        <v>0</v>
      </c>
      <c r="B331">
        <v>0</v>
      </c>
      <c r="C331">
        <v>0</v>
      </c>
      <c r="D331">
        <v>0</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0</v>
      </c>
    </row>
    <row r="332" spans="1:80" x14ac:dyDescent="0.2">
      <c r="A332">
        <v>0</v>
      </c>
      <c r="B332">
        <v>0</v>
      </c>
      <c r="C332">
        <v>0</v>
      </c>
      <c r="D332">
        <v>0</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c r="BZ332">
        <v>0</v>
      </c>
      <c r="CA332">
        <v>0</v>
      </c>
      <c r="CB332">
        <v>0</v>
      </c>
    </row>
    <row r="333" spans="1:80" x14ac:dyDescent="0.2">
      <c r="A333">
        <v>0</v>
      </c>
      <c r="B333">
        <v>0</v>
      </c>
      <c r="C333">
        <v>0</v>
      </c>
      <c r="D333">
        <v>0</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c r="BY333">
        <v>0</v>
      </c>
      <c r="BZ333">
        <v>0</v>
      </c>
      <c r="CA333">
        <v>0</v>
      </c>
      <c r="CB333">
        <v>0</v>
      </c>
    </row>
    <row r="334" spans="1:80" x14ac:dyDescent="0.2">
      <c r="A334">
        <v>0</v>
      </c>
      <c r="B334">
        <v>0</v>
      </c>
      <c r="C334">
        <v>0</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c r="BY334">
        <v>0</v>
      </c>
      <c r="BZ334">
        <v>0</v>
      </c>
      <c r="CA334">
        <v>0</v>
      </c>
      <c r="CB334">
        <v>0</v>
      </c>
    </row>
    <row r="335" spans="1:80" x14ac:dyDescent="0.2">
      <c r="A335">
        <v>0</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row>
    <row r="336" spans="1:80" x14ac:dyDescent="0.2">
      <c r="A336">
        <v>0</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c r="BW336">
        <v>0</v>
      </c>
      <c r="BX336">
        <v>0</v>
      </c>
      <c r="BY336">
        <v>0</v>
      </c>
      <c r="BZ336">
        <v>0</v>
      </c>
      <c r="CA336">
        <v>0</v>
      </c>
      <c r="CB336">
        <v>0</v>
      </c>
    </row>
    <row r="338" spans="1:80" x14ac:dyDescent="0.2">
      <c r="A338" s="11" t="s">
        <v>52</v>
      </c>
    </row>
    <row r="339" spans="1:80" x14ac:dyDescent="0.2">
      <c r="A339">
        <f t="array" ref="A339:CB418">MMULT(_motor!$A$257:$CB$336,_motor!$A$11:$CB$90)</f>
        <v>0</v>
      </c>
      <c r="B339">
        <v>0</v>
      </c>
      <c r="C339">
        <v>0</v>
      </c>
      <c r="D339">
        <v>0</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0</v>
      </c>
      <c r="BP339">
        <v>0</v>
      </c>
      <c r="BQ339">
        <v>0</v>
      </c>
      <c r="BR339">
        <v>0</v>
      </c>
      <c r="BS339">
        <v>0</v>
      </c>
      <c r="BT339">
        <v>0</v>
      </c>
      <c r="BU339">
        <v>0</v>
      </c>
      <c r="BV339">
        <v>0</v>
      </c>
      <c r="BW339">
        <v>0</v>
      </c>
      <c r="BX339">
        <v>0</v>
      </c>
      <c r="BY339">
        <v>0</v>
      </c>
      <c r="BZ339">
        <v>0</v>
      </c>
      <c r="CA339">
        <v>0</v>
      </c>
      <c r="CB339">
        <v>0</v>
      </c>
    </row>
    <row r="340" spans="1:80" x14ac:dyDescent="0.2">
      <c r="A340">
        <v>0</v>
      </c>
      <c r="B340">
        <v>0</v>
      </c>
      <c r="C340">
        <v>0</v>
      </c>
      <c r="D340">
        <v>0</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v>0</v>
      </c>
      <c r="CB340">
        <v>0</v>
      </c>
    </row>
    <row r="341" spans="1:80" x14ac:dyDescent="0.2">
      <c r="A341">
        <v>0</v>
      </c>
      <c r="B341">
        <v>0</v>
      </c>
      <c r="C341">
        <v>0</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c r="BW341">
        <v>0</v>
      </c>
      <c r="BX341">
        <v>0</v>
      </c>
      <c r="BY341">
        <v>0</v>
      </c>
      <c r="BZ341">
        <v>0</v>
      </c>
      <c r="CA341">
        <v>0</v>
      </c>
      <c r="CB341">
        <v>0</v>
      </c>
    </row>
    <row r="342" spans="1:80" x14ac:dyDescent="0.2">
      <c r="A342">
        <v>0</v>
      </c>
      <c r="B342">
        <v>0</v>
      </c>
      <c r="C342">
        <v>0</v>
      </c>
      <c r="D342">
        <v>0</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c r="BW342">
        <v>0</v>
      </c>
      <c r="BX342">
        <v>0</v>
      </c>
      <c r="BY342">
        <v>0</v>
      </c>
      <c r="BZ342">
        <v>0</v>
      </c>
      <c r="CA342">
        <v>0</v>
      </c>
      <c r="CB342">
        <v>0</v>
      </c>
    </row>
    <row r="343" spans="1:80" x14ac:dyDescent="0.2">
      <c r="A343">
        <v>0</v>
      </c>
      <c r="B343">
        <v>0</v>
      </c>
      <c r="C343">
        <v>0</v>
      </c>
      <c r="D343">
        <v>0</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0</v>
      </c>
      <c r="BS343">
        <v>0</v>
      </c>
      <c r="BT343">
        <v>0</v>
      </c>
      <c r="BU343">
        <v>0</v>
      </c>
      <c r="BV343">
        <v>0</v>
      </c>
      <c r="BW343">
        <v>0</v>
      </c>
      <c r="BX343">
        <v>0</v>
      </c>
      <c r="BY343">
        <v>0</v>
      </c>
      <c r="BZ343">
        <v>0</v>
      </c>
      <c r="CA343">
        <v>0</v>
      </c>
      <c r="CB343">
        <v>0</v>
      </c>
    </row>
    <row r="344" spans="1:80" x14ac:dyDescent="0.2">
      <c r="A344">
        <v>0</v>
      </c>
      <c r="B344">
        <v>0</v>
      </c>
      <c r="C344">
        <v>0</v>
      </c>
      <c r="D344">
        <v>0</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c r="BW344">
        <v>0</v>
      </c>
      <c r="BX344">
        <v>0</v>
      </c>
      <c r="BY344">
        <v>0</v>
      </c>
      <c r="BZ344">
        <v>0</v>
      </c>
      <c r="CA344">
        <v>0</v>
      </c>
      <c r="CB344">
        <v>0</v>
      </c>
    </row>
    <row r="345" spans="1:80" x14ac:dyDescent="0.2">
      <c r="A345">
        <v>0</v>
      </c>
      <c r="B345">
        <v>0</v>
      </c>
      <c r="C345">
        <v>0</v>
      </c>
      <c r="D345">
        <v>0</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row>
    <row r="346" spans="1:80" x14ac:dyDescent="0.2">
      <c r="A346">
        <v>0</v>
      </c>
      <c r="B346">
        <v>0</v>
      </c>
      <c r="C346">
        <v>0</v>
      </c>
      <c r="D346">
        <v>0</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0</v>
      </c>
      <c r="BN346">
        <v>0</v>
      </c>
      <c r="BO346">
        <v>0</v>
      </c>
      <c r="BP346">
        <v>0</v>
      </c>
      <c r="BQ346">
        <v>0</v>
      </c>
      <c r="BR346">
        <v>0</v>
      </c>
      <c r="BS346">
        <v>0</v>
      </c>
      <c r="BT346">
        <v>0</v>
      </c>
      <c r="BU346">
        <v>0</v>
      </c>
      <c r="BV346">
        <v>0</v>
      </c>
      <c r="BW346">
        <v>0</v>
      </c>
      <c r="BX346">
        <v>0</v>
      </c>
      <c r="BY346">
        <v>0</v>
      </c>
      <c r="BZ346">
        <v>0</v>
      </c>
      <c r="CA346">
        <v>0</v>
      </c>
      <c r="CB346">
        <v>0</v>
      </c>
    </row>
    <row r="347" spans="1:80" x14ac:dyDescent="0.2">
      <c r="A347">
        <v>0</v>
      </c>
      <c r="B347">
        <v>0</v>
      </c>
      <c r="C347">
        <v>0</v>
      </c>
      <c r="D347">
        <v>0</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v>0</v>
      </c>
      <c r="BI347">
        <v>0</v>
      </c>
      <c r="BJ347">
        <v>0</v>
      </c>
      <c r="BK347">
        <v>0</v>
      </c>
      <c r="BL347">
        <v>0</v>
      </c>
      <c r="BM347">
        <v>0</v>
      </c>
      <c r="BN347">
        <v>0</v>
      </c>
      <c r="BO347">
        <v>0</v>
      </c>
      <c r="BP347">
        <v>0</v>
      </c>
      <c r="BQ347">
        <v>0</v>
      </c>
      <c r="BR347">
        <v>0</v>
      </c>
      <c r="BS347">
        <v>0</v>
      </c>
      <c r="BT347">
        <v>0</v>
      </c>
      <c r="BU347">
        <v>0</v>
      </c>
      <c r="BV347">
        <v>0</v>
      </c>
      <c r="BW347">
        <v>0</v>
      </c>
      <c r="BX347">
        <v>0</v>
      </c>
      <c r="BY347">
        <v>0</v>
      </c>
      <c r="BZ347">
        <v>0</v>
      </c>
      <c r="CA347">
        <v>0</v>
      </c>
      <c r="CB347">
        <v>0</v>
      </c>
    </row>
    <row r="348" spans="1:80" x14ac:dyDescent="0.2">
      <c r="A348">
        <v>0</v>
      </c>
      <c r="B348">
        <v>0</v>
      </c>
      <c r="C348">
        <v>0</v>
      </c>
      <c r="D348">
        <v>0</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row>
    <row r="349" spans="1:80" x14ac:dyDescent="0.2">
      <c r="A349">
        <v>0</v>
      </c>
      <c r="B349">
        <v>0</v>
      </c>
      <c r="C349">
        <v>0</v>
      </c>
      <c r="D349">
        <v>0</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0</v>
      </c>
      <c r="BR349">
        <v>0</v>
      </c>
      <c r="BS349">
        <v>0</v>
      </c>
      <c r="BT349">
        <v>0</v>
      </c>
      <c r="BU349">
        <v>0</v>
      </c>
      <c r="BV349">
        <v>0</v>
      </c>
      <c r="BW349">
        <v>0</v>
      </c>
      <c r="BX349">
        <v>0</v>
      </c>
      <c r="BY349">
        <v>0</v>
      </c>
      <c r="BZ349">
        <v>0</v>
      </c>
      <c r="CA349">
        <v>0</v>
      </c>
      <c r="CB349">
        <v>0</v>
      </c>
    </row>
    <row r="350" spans="1:80" x14ac:dyDescent="0.2">
      <c r="A350">
        <v>0</v>
      </c>
      <c r="B350">
        <v>0</v>
      </c>
      <c r="C350">
        <v>0</v>
      </c>
      <c r="D350">
        <v>0</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0</v>
      </c>
      <c r="BQ350">
        <v>0</v>
      </c>
      <c r="BR350">
        <v>0</v>
      </c>
      <c r="BS350">
        <v>0</v>
      </c>
      <c r="BT350">
        <v>0</v>
      </c>
      <c r="BU350">
        <v>0</v>
      </c>
      <c r="BV350">
        <v>0</v>
      </c>
      <c r="BW350">
        <v>0</v>
      </c>
      <c r="BX350">
        <v>0</v>
      </c>
      <c r="BY350">
        <v>0</v>
      </c>
      <c r="BZ350">
        <v>0</v>
      </c>
      <c r="CA350">
        <v>0</v>
      </c>
      <c r="CB350">
        <v>0</v>
      </c>
    </row>
    <row r="351" spans="1:80" x14ac:dyDescent="0.2">
      <c r="A351">
        <v>0</v>
      </c>
      <c r="B351">
        <v>0</v>
      </c>
      <c r="C351">
        <v>0</v>
      </c>
      <c r="D351">
        <v>0</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row>
    <row r="352" spans="1:80" x14ac:dyDescent="0.2">
      <c r="A352">
        <v>0</v>
      </c>
      <c r="B352">
        <v>0</v>
      </c>
      <c r="C352">
        <v>0</v>
      </c>
      <c r="D352">
        <v>0</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c r="BW352">
        <v>0</v>
      </c>
      <c r="BX352">
        <v>0</v>
      </c>
      <c r="BY352">
        <v>0</v>
      </c>
      <c r="BZ352">
        <v>0</v>
      </c>
      <c r="CA352">
        <v>0</v>
      </c>
      <c r="CB352">
        <v>0</v>
      </c>
    </row>
    <row r="353" spans="1:80" x14ac:dyDescent="0.2">
      <c r="A353">
        <v>0</v>
      </c>
      <c r="B353">
        <v>0</v>
      </c>
      <c r="C353">
        <v>0</v>
      </c>
      <c r="D353">
        <v>0</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c r="BZ353">
        <v>0</v>
      </c>
      <c r="CA353">
        <v>0</v>
      </c>
      <c r="CB353">
        <v>0</v>
      </c>
    </row>
    <row r="354" spans="1:80" x14ac:dyDescent="0.2">
      <c r="A354">
        <v>0</v>
      </c>
      <c r="B354">
        <v>0</v>
      </c>
      <c r="C354">
        <v>0</v>
      </c>
      <c r="D354">
        <v>0</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0</v>
      </c>
      <c r="BW354">
        <v>0</v>
      </c>
      <c r="BX354">
        <v>0</v>
      </c>
      <c r="BY354">
        <v>0</v>
      </c>
      <c r="BZ354">
        <v>0</v>
      </c>
      <c r="CA354">
        <v>0</v>
      </c>
      <c r="CB354">
        <v>0</v>
      </c>
    </row>
    <row r="355" spans="1:80" x14ac:dyDescent="0.2">
      <c r="A355">
        <v>0</v>
      </c>
      <c r="B355">
        <v>0</v>
      </c>
      <c r="C355">
        <v>0</v>
      </c>
      <c r="D355">
        <v>0</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v>
      </c>
      <c r="BY355">
        <v>0</v>
      </c>
      <c r="BZ355">
        <v>0</v>
      </c>
      <c r="CA355">
        <v>0</v>
      </c>
      <c r="CB355">
        <v>0</v>
      </c>
    </row>
    <row r="356" spans="1:80" x14ac:dyDescent="0.2">
      <c r="A356">
        <v>0</v>
      </c>
      <c r="B356">
        <v>0</v>
      </c>
      <c r="C356">
        <v>0</v>
      </c>
      <c r="D356">
        <v>0</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row>
    <row r="357" spans="1:80" x14ac:dyDescent="0.2">
      <c r="A357">
        <v>0</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row>
    <row r="358" spans="1:80" x14ac:dyDescent="0.2">
      <c r="A358">
        <v>0</v>
      </c>
      <c r="B358">
        <v>0</v>
      </c>
      <c r="C358">
        <v>0</v>
      </c>
      <c r="D358">
        <v>0</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row>
    <row r="359" spans="1:80" x14ac:dyDescent="0.2">
      <c r="A359">
        <v>0</v>
      </c>
      <c r="B359">
        <v>0</v>
      </c>
      <c r="C359">
        <v>0</v>
      </c>
      <c r="D359">
        <v>0</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0</v>
      </c>
      <c r="BU359">
        <v>0</v>
      </c>
      <c r="BV359">
        <v>0</v>
      </c>
      <c r="BW359">
        <v>0</v>
      </c>
      <c r="BX359">
        <v>0</v>
      </c>
      <c r="BY359">
        <v>0</v>
      </c>
      <c r="BZ359">
        <v>0</v>
      </c>
      <c r="CA359">
        <v>0</v>
      </c>
      <c r="CB359">
        <v>0</v>
      </c>
    </row>
    <row r="360" spans="1:80" x14ac:dyDescent="0.2">
      <c r="A360">
        <v>0</v>
      </c>
      <c r="B360">
        <v>0</v>
      </c>
      <c r="C360">
        <v>0</v>
      </c>
      <c r="D360">
        <v>0</v>
      </c>
      <c r="E360">
        <v>0</v>
      </c>
      <c r="F360">
        <v>0</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0</v>
      </c>
      <c r="BS360">
        <v>0</v>
      </c>
      <c r="BT360">
        <v>0</v>
      </c>
      <c r="BU360">
        <v>0</v>
      </c>
      <c r="BV360">
        <v>0</v>
      </c>
      <c r="BW360">
        <v>0</v>
      </c>
      <c r="BX360">
        <v>0</v>
      </c>
      <c r="BY360">
        <v>0</v>
      </c>
      <c r="BZ360">
        <v>0</v>
      </c>
      <c r="CA360">
        <v>0</v>
      </c>
      <c r="CB360">
        <v>0</v>
      </c>
    </row>
    <row r="361" spans="1:80" x14ac:dyDescent="0.2">
      <c r="A361">
        <v>0</v>
      </c>
      <c r="B361">
        <v>0</v>
      </c>
      <c r="C361">
        <v>0</v>
      </c>
      <c r="D361">
        <v>0</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c r="BY361">
        <v>0</v>
      </c>
      <c r="BZ361">
        <v>0</v>
      </c>
      <c r="CA361">
        <v>0</v>
      </c>
      <c r="CB361">
        <v>0</v>
      </c>
    </row>
    <row r="362" spans="1:80" x14ac:dyDescent="0.2">
      <c r="A362">
        <v>0</v>
      </c>
      <c r="B362">
        <v>0</v>
      </c>
      <c r="C362">
        <v>0</v>
      </c>
      <c r="D362">
        <v>0</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0</v>
      </c>
      <c r="BT362">
        <v>0</v>
      </c>
      <c r="BU362">
        <v>0</v>
      </c>
      <c r="BV362">
        <v>0</v>
      </c>
      <c r="BW362">
        <v>0</v>
      </c>
      <c r="BX362">
        <v>0</v>
      </c>
      <c r="BY362">
        <v>0</v>
      </c>
      <c r="BZ362">
        <v>0</v>
      </c>
      <c r="CA362">
        <v>0</v>
      </c>
      <c r="CB362">
        <v>0</v>
      </c>
    </row>
    <row r="363" spans="1:80" x14ac:dyDescent="0.2">
      <c r="A363">
        <v>0</v>
      </c>
      <c r="B363">
        <v>0</v>
      </c>
      <c r="C363">
        <v>0</v>
      </c>
      <c r="D363">
        <v>0</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v>
      </c>
      <c r="CA363">
        <v>0</v>
      </c>
      <c r="CB363">
        <v>0</v>
      </c>
    </row>
    <row r="364" spans="1:80" x14ac:dyDescent="0.2">
      <c r="A364">
        <v>0</v>
      </c>
      <c r="B364">
        <v>0</v>
      </c>
      <c r="C364">
        <v>0</v>
      </c>
      <c r="D364">
        <v>0</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c r="BZ364">
        <v>0</v>
      </c>
      <c r="CA364">
        <v>0</v>
      </c>
      <c r="CB364">
        <v>0</v>
      </c>
    </row>
    <row r="365" spans="1:80" x14ac:dyDescent="0.2">
      <c r="A365">
        <v>0</v>
      </c>
      <c r="B365">
        <v>0</v>
      </c>
      <c r="C365">
        <v>0</v>
      </c>
      <c r="D365">
        <v>0</v>
      </c>
      <c r="E365">
        <v>0</v>
      </c>
      <c r="F365">
        <v>0</v>
      </c>
      <c r="G365">
        <v>0</v>
      </c>
      <c r="H365">
        <v>0</v>
      </c>
      <c r="I365">
        <v>0</v>
      </c>
      <c r="J365">
        <v>0</v>
      </c>
      <c r="K365">
        <v>0</v>
      </c>
      <c r="L365">
        <v>0</v>
      </c>
      <c r="M365">
        <v>0</v>
      </c>
      <c r="N365">
        <v>0</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0</v>
      </c>
      <c r="BO365">
        <v>0</v>
      </c>
      <c r="BP365">
        <v>0</v>
      </c>
      <c r="BQ365">
        <v>0</v>
      </c>
      <c r="BR365">
        <v>0</v>
      </c>
      <c r="BS365">
        <v>0</v>
      </c>
      <c r="BT365">
        <v>0</v>
      </c>
      <c r="BU365">
        <v>0</v>
      </c>
      <c r="BV365">
        <v>0</v>
      </c>
      <c r="BW365">
        <v>0</v>
      </c>
      <c r="BX365">
        <v>0</v>
      </c>
      <c r="BY365">
        <v>0</v>
      </c>
      <c r="BZ365">
        <v>0</v>
      </c>
      <c r="CA365">
        <v>0</v>
      </c>
      <c r="CB365">
        <v>0</v>
      </c>
    </row>
    <row r="366" spans="1:80" x14ac:dyDescent="0.2">
      <c r="A366">
        <v>0</v>
      </c>
      <c r="B366">
        <v>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row>
    <row r="367" spans="1:80" x14ac:dyDescent="0.2">
      <c r="A367">
        <v>0</v>
      </c>
      <c r="B367">
        <v>0</v>
      </c>
      <c r="C367">
        <v>0</v>
      </c>
      <c r="D367">
        <v>0</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row>
    <row r="368" spans="1:80" x14ac:dyDescent="0.2">
      <c r="A368">
        <v>0</v>
      </c>
      <c r="B368">
        <v>0</v>
      </c>
      <c r="C368">
        <v>0</v>
      </c>
      <c r="D368">
        <v>0</v>
      </c>
      <c r="E368">
        <v>0</v>
      </c>
      <c r="F368">
        <v>0</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0</v>
      </c>
      <c r="BR368">
        <v>0</v>
      </c>
      <c r="BS368">
        <v>0</v>
      </c>
      <c r="BT368">
        <v>0</v>
      </c>
      <c r="BU368">
        <v>0</v>
      </c>
      <c r="BV368">
        <v>0</v>
      </c>
      <c r="BW368">
        <v>0</v>
      </c>
      <c r="BX368">
        <v>0</v>
      </c>
      <c r="BY368">
        <v>0</v>
      </c>
      <c r="BZ368">
        <v>0</v>
      </c>
      <c r="CA368">
        <v>0</v>
      </c>
      <c r="CB368">
        <v>0</v>
      </c>
    </row>
    <row r="369" spans="1:80" x14ac:dyDescent="0.2">
      <c r="A369">
        <v>0</v>
      </c>
      <c r="B369">
        <v>0</v>
      </c>
      <c r="C369">
        <v>0</v>
      </c>
      <c r="D369">
        <v>0</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c r="BW369">
        <v>0</v>
      </c>
      <c r="BX369">
        <v>0</v>
      </c>
      <c r="BY369">
        <v>0</v>
      </c>
      <c r="BZ369">
        <v>0</v>
      </c>
      <c r="CA369">
        <v>0</v>
      </c>
      <c r="CB369">
        <v>0</v>
      </c>
    </row>
    <row r="370" spans="1:80" x14ac:dyDescent="0.2">
      <c r="A370">
        <v>0</v>
      </c>
      <c r="B370">
        <v>0</v>
      </c>
      <c r="C370">
        <v>0</v>
      </c>
      <c r="D370">
        <v>0</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c r="BY370">
        <v>0</v>
      </c>
      <c r="BZ370">
        <v>0</v>
      </c>
      <c r="CA370">
        <v>0</v>
      </c>
      <c r="CB370">
        <v>0</v>
      </c>
    </row>
    <row r="371" spans="1:80" x14ac:dyDescent="0.2">
      <c r="A371">
        <v>0</v>
      </c>
      <c r="B371">
        <v>0</v>
      </c>
      <c r="C371">
        <v>0</v>
      </c>
      <c r="D371">
        <v>0</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0</v>
      </c>
      <c r="BQ371">
        <v>0</v>
      </c>
      <c r="BR371">
        <v>0</v>
      </c>
      <c r="BS371">
        <v>0</v>
      </c>
      <c r="BT371">
        <v>0</v>
      </c>
      <c r="BU371">
        <v>0</v>
      </c>
      <c r="BV371">
        <v>0</v>
      </c>
      <c r="BW371">
        <v>0</v>
      </c>
      <c r="BX371">
        <v>0</v>
      </c>
      <c r="BY371">
        <v>0</v>
      </c>
      <c r="BZ371">
        <v>0</v>
      </c>
      <c r="CA371">
        <v>0</v>
      </c>
      <c r="CB371">
        <v>0</v>
      </c>
    </row>
    <row r="372" spans="1:80" x14ac:dyDescent="0.2">
      <c r="A372">
        <v>0</v>
      </c>
      <c r="B372">
        <v>0</v>
      </c>
      <c r="C372">
        <v>0</v>
      </c>
      <c r="D372">
        <v>0</v>
      </c>
      <c r="E372">
        <v>0</v>
      </c>
      <c r="F372">
        <v>0</v>
      </c>
      <c r="G372">
        <v>0</v>
      </c>
      <c r="H372">
        <v>0</v>
      </c>
      <c r="I372">
        <v>0</v>
      </c>
      <c r="J372">
        <v>0</v>
      </c>
      <c r="K372">
        <v>0</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c r="BY372">
        <v>0</v>
      </c>
      <c r="BZ372">
        <v>0</v>
      </c>
      <c r="CA372">
        <v>0</v>
      </c>
      <c r="CB372">
        <v>0</v>
      </c>
    </row>
    <row r="373" spans="1:80" x14ac:dyDescent="0.2">
      <c r="A373">
        <v>0</v>
      </c>
      <c r="B373">
        <v>0</v>
      </c>
      <c r="C373">
        <v>0</v>
      </c>
      <c r="D373">
        <v>0</v>
      </c>
      <c r="E373">
        <v>0</v>
      </c>
      <c r="F373">
        <v>0</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row>
    <row r="374" spans="1:80" x14ac:dyDescent="0.2">
      <c r="A374">
        <v>0</v>
      </c>
      <c r="B374">
        <v>0</v>
      </c>
      <c r="C374">
        <v>0</v>
      </c>
      <c r="D374">
        <v>0</v>
      </c>
      <c r="E374">
        <v>0</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v>0</v>
      </c>
      <c r="BI374">
        <v>0</v>
      </c>
      <c r="BJ374">
        <v>0</v>
      </c>
      <c r="BK374">
        <v>0</v>
      </c>
      <c r="BL374">
        <v>0</v>
      </c>
      <c r="BM374">
        <v>0</v>
      </c>
      <c r="BN374">
        <v>0</v>
      </c>
      <c r="BO374">
        <v>0</v>
      </c>
      <c r="BP374">
        <v>0</v>
      </c>
      <c r="BQ374">
        <v>0</v>
      </c>
      <c r="BR374">
        <v>0</v>
      </c>
      <c r="BS374">
        <v>0</v>
      </c>
      <c r="BT374">
        <v>0</v>
      </c>
      <c r="BU374">
        <v>0</v>
      </c>
      <c r="BV374">
        <v>0</v>
      </c>
      <c r="BW374">
        <v>0</v>
      </c>
      <c r="BX374">
        <v>0</v>
      </c>
      <c r="BY374">
        <v>0</v>
      </c>
      <c r="BZ374">
        <v>0</v>
      </c>
      <c r="CA374">
        <v>0</v>
      </c>
      <c r="CB374">
        <v>0</v>
      </c>
    </row>
    <row r="375" spans="1:80" x14ac:dyDescent="0.2">
      <c r="A375">
        <v>0</v>
      </c>
      <c r="B375">
        <v>0</v>
      </c>
      <c r="C375">
        <v>0</v>
      </c>
      <c r="D375">
        <v>0</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c r="BY375">
        <v>0</v>
      </c>
      <c r="BZ375">
        <v>0</v>
      </c>
      <c r="CA375">
        <v>0</v>
      </c>
      <c r="CB375">
        <v>0</v>
      </c>
    </row>
    <row r="376" spans="1:80" x14ac:dyDescent="0.2">
      <c r="A376">
        <v>0</v>
      </c>
      <c r="B376">
        <v>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row>
    <row r="377" spans="1:80" x14ac:dyDescent="0.2">
      <c r="A377">
        <v>0</v>
      </c>
      <c r="B377">
        <v>0</v>
      </c>
      <c r="C377">
        <v>0</v>
      </c>
      <c r="D377">
        <v>0</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row>
    <row r="378" spans="1:80" x14ac:dyDescent="0.2">
      <c r="A378">
        <v>0</v>
      </c>
      <c r="B378">
        <v>0</v>
      </c>
      <c r="C378">
        <v>0</v>
      </c>
      <c r="D378">
        <v>0</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c r="BY378">
        <v>0</v>
      </c>
      <c r="BZ378">
        <v>0</v>
      </c>
      <c r="CA378">
        <v>0</v>
      </c>
      <c r="CB378">
        <v>0</v>
      </c>
    </row>
    <row r="379" spans="1:80" x14ac:dyDescent="0.2">
      <c r="A379">
        <v>0</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0</v>
      </c>
    </row>
    <row r="380" spans="1:80" x14ac:dyDescent="0.2">
      <c r="A380">
        <v>0</v>
      </c>
      <c r="B380">
        <v>0</v>
      </c>
      <c r="C380">
        <v>0</v>
      </c>
      <c r="D380">
        <v>0</v>
      </c>
      <c r="E380">
        <v>0</v>
      </c>
      <c r="F380">
        <v>0</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c r="BV380">
        <v>0</v>
      </c>
      <c r="BW380">
        <v>0</v>
      </c>
      <c r="BX380">
        <v>0</v>
      </c>
      <c r="BY380">
        <v>0</v>
      </c>
      <c r="BZ380">
        <v>0</v>
      </c>
      <c r="CA380">
        <v>0</v>
      </c>
      <c r="CB380">
        <v>0</v>
      </c>
    </row>
    <row r="381" spans="1:80" x14ac:dyDescent="0.2">
      <c r="A381">
        <v>0</v>
      </c>
      <c r="B381">
        <v>0</v>
      </c>
      <c r="C381">
        <v>0</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v>
      </c>
      <c r="BN381">
        <v>0</v>
      </c>
      <c r="BO381">
        <v>0</v>
      </c>
      <c r="BP381">
        <v>0</v>
      </c>
      <c r="BQ381">
        <v>0</v>
      </c>
      <c r="BR381">
        <v>0</v>
      </c>
      <c r="BS381">
        <v>0</v>
      </c>
      <c r="BT381">
        <v>0</v>
      </c>
      <c r="BU381">
        <v>0</v>
      </c>
      <c r="BV381">
        <v>0</v>
      </c>
      <c r="BW381">
        <v>0</v>
      </c>
      <c r="BX381">
        <v>0</v>
      </c>
      <c r="BY381">
        <v>0</v>
      </c>
      <c r="BZ381">
        <v>0</v>
      </c>
      <c r="CA381">
        <v>0</v>
      </c>
      <c r="CB381">
        <v>0</v>
      </c>
    </row>
    <row r="382" spans="1:80" x14ac:dyDescent="0.2">
      <c r="A382">
        <v>0</v>
      </c>
      <c r="B382">
        <v>0</v>
      </c>
      <c r="C382">
        <v>0</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row>
    <row r="383" spans="1:80" x14ac:dyDescent="0.2">
      <c r="A383">
        <v>0</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0</v>
      </c>
    </row>
    <row r="384" spans="1:80" x14ac:dyDescent="0.2">
      <c r="A384">
        <v>0</v>
      </c>
      <c r="B384">
        <v>0</v>
      </c>
      <c r="C384">
        <v>0</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0</v>
      </c>
      <c r="BY384">
        <v>0</v>
      </c>
      <c r="BZ384">
        <v>0</v>
      </c>
      <c r="CA384">
        <v>0</v>
      </c>
      <c r="CB384">
        <v>0</v>
      </c>
    </row>
    <row r="385" spans="1:80" x14ac:dyDescent="0.2">
      <c r="A385">
        <v>0</v>
      </c>
      <c r="B385">
        <v>0</v>
      </c>
      <c r="C385">
        <v>0</v>
      </c>
      <c r="D385">
        <v>0</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0</v>
      </c>
      <c r="BJ385">
        <v>0</v>
      </c>
      <c r="BK385">
        <v>0</v>
      </c>
      <c r="BL385">
        <v>0</v>
      </c>
      <c r="BM385">
        <v>0</v>
      </c>
      <c r="BN385">
        <v>0</v>
      </c>
      <c r="BO385">
        <v>0</v>
      </c>
      <c r="BP385">
        <v>0</v>
      </c>
      <c r="BQ385">
        <v>0</v>
      </c>
      <c r="BR385">
        <v>0</v>
      </c>
      <c r="BS385">
        <v>0</v>
      </c>
      <c r="BT385">
        <v>0</v>
      </c>
      <c r="BU385">
        <v>0</v>
      </c>
      <c r="BV385">
        <v>0</v>
      </c>
      <c r="BW385">
        <v>0</v>
      </c>
      <c r="BX385">
        <v>0</v>
      </c>
      <c r="BY385">
        <v>0</v>
      </c>
      <c r="BZ385">
        <v>0</v>
      </c>
      <c r="CA385">
        <v>0</v>
      </c>
      <c r="CB385">
        <v>0</v>
      </c>
    </row>
    <row r="386" spans="1:80" x14ac:dyDescent="0.2">
      <c r="A386">
        <v>0</v>
      </c>
      <c r="B386">
        <v>0</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c r="BZ386">
        <v>0</v>
      </c>
      <c r="CA386">
        <v>0</v>
      </c>
      <c r="CB386">
        <v>0</v>
      </c>
    </row>
    <row r="387" spans="1:80" x14ac:dyDescent="0.2">
      <c r="A387">
        <v>0</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row>
    <row r="388" spans="1:80" x14ac:dyDescent="0.2">
      <c r="A388">
        <v>0</v>
      </c>
      <c r="B388">
        <v>0</v>
      </c>
      <c r="C388">
        <v>0</v>
      </c>
      <c r="D388">
        <v>0</v>
      </c>
      <c r="E388">
        <v>0</v>
      </c>
      <c r="F388">
        <v>0</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v>0</v>
      </c>
      <c r="AW388">
        <v>0</v>
      </c>
      <c r="AX388">
        <v>0</v>
      </c>
      <c r="AY388">
        <v>0</v>
      </c>
      <c r="AZ388">
        <v>0</v>
      </c>
      <c r="BA388">
        <v>0</v>
      </c>
      <c r="BB388">
        <v>0</v>
      </c>
      <c r="BC388">
        <v>0</v>
      </c>
      <c r="BD388">
        <v>0</v>
      </c>
      <c r="BE388">
        <v>0</v>
      </c>
      <c r="BF388">
        <v>0</v>
      </c>
      <c r="BG388">
        <v>0</v>
      </c>
      <c r="BH388">
        <v>0</v>
      </c>
      <c r="BI388">
        <v>0</v>
      </c>
      <c r="BJ388">
        <v>0</v>
      </c>
      <c r="BK388">
        <v>0</v>
      </c>
      <c r="BL388">
        <v>0</v>
      </c>
      <c r="BM388">
        <v>0</v>
      </c>
      <c r="BN388">
        <v>0</v>
      </c>
      <c r="BO388">
        <v>0</v>
      </c>
      <c r="BP388">
        <v>0</v>
      </c>
      <c r="BQ388">
        <v>0</v>
      </c>
      <c r="BR388">
        <v>0</v>
      </c>
      <c r="BS388">
        <v>0</v>
      </c>
      <c r="BT388">
        <v>0</v>
      </c>
      <c r="BU388">
        <v>0</v>
      </c>
      <c r="BV388">
        <v>0</v>
      </c>
      <c r="BW388">
        <v>0</v>
      </c>
      <c r="BX388">
        <v>0</v>
      </c>
      <c r="BY388">
        <v>0</v>
      </c>
      <c r="BZ388">
        <v>0</v>
      </c>
      <c r="CA388">
        <v>0</v>
      </c>
      <c r="CB388">
        <v>0</v>
      </c>
    </row>
    <row r="389" spans="1:80" x14ac:dyDescent="0.2">
      <c r="A389">
        <v>0</v>
      </c>
      <c r="B389">
        <v>0</v>
      </c>
      <c r="C389">
        <v>0</v>
      </c>
      <c r="D389">
        <v>0</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row>
    <row r="390" spans="1:80" x14ac:dyDescent="0.2">
      <c r="A390">
        <v>0</v>
      </c>
      <c r="B390">
        <v>0</v>
      </c>
      <c r="C390">
        <v>0</v>
      </c>
      <c r="D390">
        <v>0</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0</v>
      </c>
      <c r="BN390">
        <v>0</v>
      </c>
      <c r="BO390">
        <v>0</v>
      </c>
      <c r="BP390">
        <v>0</v>
      </c>
      <c r="BQ390">
        <v>0</v>
      </c>
      <c r="BR390">
        <v>0</v>
      </c>
      <c r="BS390">
        <v>0</v>
      </c>
      <c r="BT390">
        <v>0</v>
      </c>
      <c r="BU390">
        <v>0</v>
      </c>
      <c r="BV390">
        <v>0</v>
      </c>
      <c r="BW390">
        <v>0</v>
      </c>
      <c r="BX390">
        <v>0</v>
      </c>
      <c r="BY390">
        <v>0</v>
      </c>
      <c r="BZ390">
        <v>0</v>
      </c>
      <c r="CA390">
        <v>0</v>
      </c>
      <c r="CB390">
        <v>0</v>
      </c>
    </row>
    <row r="391" spans="1:80" x14ac:dyDescent="0.2">
      <c r="A391">
        <v>0</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c r="BW391">
        <v>0</v>
      </c>
      <c r="BX391">
        <v>0</v>
      </c>
      <c r="BY391">
        <v>0</v>
      </c>
      <c r="BZ391">
        <v>0</v>
      </c>
      <c r="CA391">
        <v>0</v>
      </c>
      <c r="CB391">
        <v>0</v>
      </c>
    </row>
    <row r="392" spans="1:80" x14ac:dyDescent="0.2">
      <c r="A392">
        <v>0</v>
      </c>
      <c r="B392">
        <v>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row>
    <row r="393" spans="1:80" x14ac:dyDescent="0.2">
      <c r="A393">
        <v>0</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c r="BY393">
        <v>0</v>
      </c>
      <c r="BZ393">
        <v>0</v>
      </c>
      <c r="CA393">
        <v>0</v>
      </c>
      <c r="CB393">
        <v>0</v>
      </c>
    </row>
    <row r="394" spans="1:80" x14ac:dyDescent="0.2">
      <c r="A394">
        <v>0</v>
      </c>
      <c r="B394">
        <v>0</v>
      </c>
      <c r="C394">
        <v>0</v>
      </c>
      <c r="D394">
        <v>0</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0</v>
      </c>
      <c r="BU394">
        <v>0</v>
      </c>
      <c r="BV394">
        <v>0</v>
      </c>
      <c r="BW394">
        <v>0</v>
      </c>
      <c r="BX394">
        <v>0</v>
      </c>
      <c r="BY394">
        <v>0</v>
      </c>
      <c r="BZ394">
        <v>0</v>
      </c>
      <c r="CA394">
        <v>0</v>
      </c>
      <c r="CB394">
        <v>0</v>
      </c>
    </row>
    <row r="395" spans="1:80" x14ac:dyDescent="0.2">
      <c r="A395">
        <v>0</v>
      </c>
      <c r="B395">
        <v>0</v>
      </c>
      <c r="C395">
        <v>0</v>
      </c>
      <c r="D395">
        <v>0</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c r="BW395">
        <v>0</v>
      </c>
      <c r="BX395">
        <v>0</v>
      </c>
      <c r="BY395">
        <v>0</v>
      </c>
      <c r="BZ395">
        <v>0</v>
      </c>
      <c r="CA395">
        <v>0</v>
      </c>
      <c r="CB395">
        <v>0</v>
      </c>
    </row>
    <row r="396" spans="1:80" x14ac:dyDescent="0.2">
      <c r="A396">
        <v>0</v>
      </c>
      <c r="B396">
        <v>0</v>
      </c>
      <c r="C396">
        <v>0</v>
      </c>
      <c r="D396">
        <v>0</v>
      </c>
      <c r="E396">
        <v>0</v>
      </c>
      <c r="F396">
        <v>0</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0</v>
      </c>
      <c r="BT396">
        <v>0</v>
      </c>
      <c r="BU396">
        <v>0</v>
      </c>
      <c r="BV396">
        <v>0</v>
      </c>
      <c r="BW396">
        <v>0</v>
      </c>
      <c r="BX396">
        <v>0</v>
      </c>
      <c r="BY396">
        <v>0</v>
      </c>
      <c r="BZ396">
        <v>0</v>
      </c>
      <c r="CA396">
        <v>0</v>
      </c>
      <c r="CB396">
        <v>0</v>
      </c>
    </row>
    <row r="397" spans="1:80" x14ac:dyDescent="0.2">
      <c r="A397">
        <v>0</v>
      </c>
      <c r="B397">
        <v>0</v>
      </c>
      <c r="C397">
        <v>0</v>
      </c>
      <c r="D397">
        <v>0</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row>
    <row r="398" spans="1:80" x14ac:dyDescent="0.2">
      <c r="A398">
        <v>0</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row>
    <row r="399" spans="1:80" x14ac:dyDescent="0.2">
      <c r="A399">
        <v>0</v>
      </c>
      <c r="B399">
        <v>0</v>
      </c>
      <c r="C399">
        <v>0</v>
      </c>
      <c r="D399">
        <v>0</v>
      </c>
      <c r="E399">
        <v>0</v>
      </c>
      <c r="F399">
        <v>0</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0</v>
      </c>
      <c r="BZ399">
        <v>0</v>
      </c>
      <c r="CA399">
        <v>0</v>
      </c>
      <c r="CB399">
        <v>0</v>
      </c>
    </row>
    <row r="400" spans="1:80" x14ac:dyDescent="0.2">
      <c r="A400">
        <v>0</v>
      </c>
      <c r="B400">
        <v>0</v>
      </c>
      <c r="C400">
        <v>0</v>
      </c>
      <c r="D400">
        <v>0</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0</v>
      </c>
      <c r="BL400">
        <v>0</v>
      </c>
      <c r="BM400">
        <v>0</v>
      </c>
      <c r="BN400">
        <v>0</v>
      </c>
      <c r="BO400">
        <v>0</v>
      </c>
      <c r="BP400">
        <v>0</v>
      </c>
      <c r="BQ400">
        <v>0</v>
      </c>
      <c r="BR400">
        <v>0</v>
      </c>
      <c r="BS400">
        <v>0</v>
      </c>
      <c r="BT400">
        <v>0</v>
      </c>
      <c r="BU400">
        <v>0</v>
      </c>
      <c r="BV400">
        <v>0</v>
      </c>
      <c r="BW400">
        <v>0</v>
      </c>
      <c r="BX400">
        <v>0</v>
      </c>
      <c r="BY400">
        <v>0</v>
      </c>
      <c r="BZ400">
        <v>0</v>
      </c>
      <c r="CA400">
        <v>0</v>
      </c>
      <c r="CB400">
        <v>0</v>
      </c>
    </row>
    <row r="401" spans="1:80" x14ac:dyDescent="0.2">
      <c r="A401">
        <v>0</v>
      </c>
      <c r="B401">
        <v>0</v>
      </c>
      <c r="C401">
        <v>0</v>
      </c>
      <c r="D401">
        <v>0</v>
      </c>
      <c r="E401">
        <v>0</v>
      </c>
      <c r="F401">
        <v>0</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0</v>
      </c>
      <c r="BU401">
        <v>0</v>
      </c>
      <c r="BV401">
        <v>0</v>
      </c>
      <c r="BW401">
        <v>0</v>
      </c>
      <c r="BX401">
        <v>0</v>
      </c>
      <c r="BY401">
        <v>0</v>
      </c>
      <c r="BZ401">
        <v>0</v>
      </c>
      <c r="CA401">
        <v>0</v>
      </c>
      <c r="CB401">
        <v>0</v>
      </c>
    </row>
    <row r="402" spans="1:80" x14ac:dyDescent="0.2">
      <c r="A402">
        <v>0</v>
      </c>
      <c r="B402">
        <v>0</v>
      </c>
      <c r="C402">
        <v>0</v>
      </c>
      <c r="D402">
        <v>0</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0</v>
      </c>
      <c r="BT402">
        <v>0</v>
      </c>
      <c r="BU402">
        <v>0</v>
      </c>
      <c r="BV402">
        <v>0</v>
      </c>
      <c r="BW402">
        <v>0</v>
      </c>
      <c r="BX402">
        <v>0</v>
      </c>
      <c r="BY402">
        <v>0</v>
      </c>
      <c r="BZ402">
        <v>0</v>
      </c>
      <c r="CA402">
        <v>0</v>
      </c>
      <c r="CB402">
        <v>0</v>
      </c>
    </row>
    <row r="403" spans="1:80" x14ac:dyDescent="0.2">
      <c r="A403">
        <v>0</v>
      </c>
      <c r="B403">
        <v>0</v>
      </c>
      <c r="C403">
        <v>0</v>
      </c>
      <c r="D403">
        <v>0</v>
      </c>
      <c r="E403">
        <v>0</v>
      </c>
      <c r="F403">
        <v>0</v>
      </c>
      <c r="G403">
        <v>0</v>
      </c>
      <c r="H403">
        <v>0</v>
      </c>
      <c r="I403">
        <v>0</v>
      </c>
      <c r="J403">
        <v>0</v>
      </c>
      <c r="K403">
        <v>0</v>
      </c>
      <c r="L403">
        <v>0</v>
      </c>
      <c r="M403">
        <v>0</v>
      </c>
      <c r="N403">
        <v>0</v>
      </c>
      <c r="O403">
        <v>0</v>
      </c>
      <c r="P403">
        <v>0</v>
      </c>
      <c r="Q403">
        <v>0</v>
      </c>
      <c r="R403">
        <v>0</v>
      </c>
      <c r="S403">
        <v>0</v>
      </c>
      <c r="T403">
        <v>0</v>
      </c>
      <c r="U403">
        <v>0</v>
      </c>
      <c r="V403">
        <v>0</v>
      </c>
      <c r="W403">
        <v>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0</v>
      </c>
      <c r="BU403">
        <v>0</v>
      </c>
      <c r="BV403">
        <v>0</v>
      </c>
      <c r="BW403">
        <v>0</v>
      </c>
      <c r="BX403">
        <v>0</v>
      </c>
      <c r="BY403">
        <v>0</v>
      </c>
      <c r="BZ403">
        <v>0</v>
      </c>
      <c r="CA403">
        <v>0</v>
      </c>
      <c r="CB403">
        <v>0</v>
      </c>
    </row>
    <row r="404" spans="1:80" x14ac:dyDescent="0.2">
      <c r="A404">
        <v>0</v>
      </c>
      <c r="B404">
        <v>0</v>
      </c>
      <c r="C404">
        <v>0</v>
      </c>
      <c r="D404">
        <v>0</v>
      </c>
      <c r="E404">
        <v>0</v>
      </c>
      <c r="F404">
        <v>0</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v>0</v>
      </c>
      <c r="BI404">
        <v>0</v>
      </c>
      <c r="BJ404">
        <v>0</v>
      </c>
      <c r="BK404">
        <v>0</v>
      </c>
      <c r="BL404">
        <v>0</v>
      </c>
      <c r="BM404">
        <v>0</v>
      </c>
      <c r="BN404">
        <v>0</v>
      </c>
      <c r="BO404">
        <v>0</v>
      </c>
      <c r="BP404">
        <v>0</v>
      </c>
      <c r="BQ404">
        <v>0</v>
      </c>
      <c r="BR404">
        <v>0</v>
      </c>
      <c r="BS404">
        <v>0</v>
      </c>
      <c r="BT404">
        <v>0</v>
      </c>
      <c r="BU404">
        <v>0</v>
      </c>
      <c r="BV404">
        <v>0</v>
      </c>
      <c r="BW404">
        <v>0</v>
      </c>
      <c r="BX404">
        <v>0</v>
      </c>
      <c r="BY404">
        <v>0</v>
      </c>
      <c r="BZ404">
        <v>0</v>
      </c>
      <c r="CA404">
        <v>0</v>
      </c>
      <c r="CB404">
        <v>0</v>
      </c>
    </row>
    <row r="405" spans="1:80" x14ac:dyDescent="0.2">
      <c r="A405">
        <v>0</v>
      </c>
      <c r="B405">
        <v>0</v>
      </c>
      <c r="C405">
        <v>0</v>
      </c>
      <c r="D405">
        <v>0</v>
      </c>
      <c r="E405">
        <v>0</v>
      </c>
      <c r="F405">
        <v>0</v>
      </c>
      <c r="G405">
        <v>0</v>
      </c>
      <c r="H405">
        <v>0</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v>0</v>
      </c>
      <c r="AW405">
        <v>0</v>
      </c>
      <c r="AX405">
        <v>0</v>
      </c>
      <c r="AY405">
        <v>0</v>
      </c>
      <c r="AZ405">
        <v>0</v>
      </c>
      <c r="BA405">
        <v>0</v>
      </c>
      <c r="BB405">
        <v>0</v>
      </c>
      <c r="BC405">
        <v>0</v>
      </c>
      <c r="BD405">
        <v>0</v>
      </c>
      <c r="BE405">
        <v>0</v>
      </c>
      <c r="BF405">
        <v>0</v>
      </c>
      <c r="BG405">
        <v>0</v>
      </c>
      <c r="BH405">
        <v>0</v>
      </c>
      <c r="BI405">
        <v>0</v>
      </c>
      <c r="BJ405">
        <v>0</v>
      </c>
      <c r="BK405">
        <v>0</v>
      </c>
      <c r="BL405">
        <v>0</v>
      </c>
      <c r="BM405">
        <v>0</v>
      </c>
      <c r="BN405">
        <v>0</v>
      </c>
      <c r="BO405">
        <v>0</v>
      </c>
      <c r="BP405">
        <v>0</v>
      </c>
      <c r="BQ405">
        <v>0</v>
      </c>
      <c r="BR405">
        <v>0</v>
      </c>
      <c r="BS405">
        <v>0</v>
      </c>
      <c r="BT405">
        <v>0</v>
      </c>
      <c r="BU405">
        <v>0</v>
      </c>
      <c r="BV405">
        <v>0</v>
      </c>
      <c r="BW405">
        <v>0</v>
      </c>
      <c r="BX405">
        <v>0</v>
      </c>
      <c r="BY405">
        <v>0</v>
      </c>
      <c r="BZ405">
        <v>0</v>
      </c>
      <c r="CA405">
        <v>0</v>
      </c>
      <c r="CB405">
        <v>0</v>
      </c>
    </row>
    <row r="406" spans="1:80" x14ac:dyDescent="0.2">
      <c r="A406">
        <v>0</v>
      </c>
      <c r="B406">
        <v>0</v>
      </c>
      <c r="C406">
        <v>0</v>
      </c>
      <c r="D406">
        <v>0</v>
      </c>
      <c r="E406">
        <v>0</v>
      </c>
      <c r="F406">
        <v>0</v>
      </c>
      <c r="G406">
        <v>0</v>
      </c>
      <c r="H406">
        <v>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0</v>
      </c>
      <c r="AW406">
        <v>0</v>
      </c>
      <c r="AX406">
        <v>0</v>
      </c>
      <c r="AY406">
        <v>0</v>
      </c>
      <c r="AZ406">
        <v>0</v>
      </c>
      <c r="BA406">
        <v>0</v>
      </c>
      <c r="BB406">
        <v>0</v>
      </c>
      <c r="BC406">
        <v>0</v>
      </c>
      <c r="BD406">
        <v>0</v>
      </c>
      <c r="BE406">
        <v>0</v>
      </c>
      <c r="BF406">
        <v>0</v>
      </c>
      <c r="BG406">
        <v>0</v>
      </c>
      <c r="BH406">
        <v>0</v>
      </c>
      <c r="BI406">
        <v>0</v>
      </c>
      <c r="BJ406">
        <v>0</v>
      </c>
      <c r="BK406">
        <v>0</v>
      </c>
      <c r="BL406">
        <v>0</v>
      </c>
      <c r="BM406">
        <v>0</v>
      </c>
      <c r="BN406">
        <v>0</v>
      </c>
      <c r="BO406">
        <v>0</v>
      </c>
      <c r="BP406">
        <v>0</v>
      </c>
      <c r="BQ406">
        <v>0</v>
      </c>
      <c r="BR406">
        <v>0</v>
      </c>
      <c r="BS406">
        <v>0</v>
      </c>
      <c r="BT406">
        <v>0</v>
      </c>
      <c r="BU406">
        <v>0</v>
      </c>
      <c r="BV406">
        <v>0</v>
      </c>
      <c r="BW406">
        <v>0</v>
      </c>
      <c r="BX406">
        <v>0</v>
      </c>
      <c r="BY406">
        <v>0</v>
      </c>
      <c r="BZ406">
        <v>0</v>
      </c>
      <c r="CA406">
        <v>0</v>
      </c>
      <c r="CB406">
        <v>0</v>
      </c>
    </row>
    <row r="407" spans="1:80" x14ac:dyDescent="0.2">
      <c r="A407">
        <v>0</v>
      </c>
      <c r="B407">
        <v>0</v>
      </c>
      <c r="C407">
        <v>0</v>
      </c>
      <c r="D407">
        <v>0</v>
      </c>
      <c r="E407">
        <v>0</v>
      </c>
      <c r="F407">
        <v>0</v>
      </c>
      <c r="G407">
        <v>0</v>
      </c>
      <c r="H407">
        <v>0</v>
      </c>
      <c r="I407">
        <v>0</v>
      </c>
      <c r="J407">
        <v>0</v>
      </c>
      <c r="K407">
        <v>0</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v>0</v>
      </c>
      <c r="AW407">
        <v>0</v>
      </c>
      <c r="AX407">
        <v>0</v>
      </c>
      <c r="AY407">
        <v>0</v>
      </c>
      <c r="AZ407">
        <v>0</v>
      </c>
      <c r="BA407">
        <v>0</v>
      </c>
      <c r="BB407">
        <v>0</v>
      </c>
      <c r="BC407">
        <v>0</v>
      </c>
      <c r="BD407">
        <v>0</v>
      </c>
      <c r="BE407">
        <v>0</v>
      </c>
      <c r="BF407">
        <v>0</v>
      </c>
      <c r="BG407">
        <v>0</v>
      </c>
      <c r="BH407">
        <v>0</v>
      </c>
      <c r="BI407">
        <v>0</v>
      </c>
      <c r="BJ407">
        <v>0</v>
      </c>
      <c r="BK407">
        <v>0</v>
      </c>
      <c r="BL407">
        <v>0</v>
      </c>
      <c r="BM407">
        <v>0</v>
      </c>
      <c r="BN407">
        <v>0</v>
      </c>
      <c r="BO407">
        <v>0</v>
      </c>
      <c r="BP407">
        <v>0</v>
      </c>
      <c r="BQ407">
        <v>0</v>
      </c>
      <c r="BR407">
        <v>0</v>
      </c>
      <c r="BS407">
        <v>0</v>
      </c>
      <c r="BT407">
        <v>0</v>
      </c>
      <c r="BU407">
        <v>0</v>
      </c>
      <c r="BV407">
        <v>0</v>
      </c>
      <c r="BW407">
        <v>0</v>
      </c>
      <c r="BX407">
        <v>0</v>
      </c>
      <c r="BY407">
        <v>0</v>
      </c>
      <c r="BZ407">
        <v>0</v>
      </c>
      <c r="CA407">
        <v>0</v>
      </c>
      <c r="CB407">
        <v>0</v>
      </c>
    </row>
    <row r="408" spans="1:80" x14ac:dyDescent="0.2">
      <c r="A408">
        <v>0</v>
      </c>
      <c r="B408">
        <v>0</v>
      </c>
      <c r="C408">
        <v>0</v>
      </c>
      <c r="D408">
        <v>0</v>
      </c>
      <c r="E408">
        <v>0</v>
      </c>
      <c r="F408">
        <v>0</v>
      </c>
      <c r="G408">
        <v>0</v>
      </c>
      <c r="H408">
        <v>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0</v>
      </c>
      <c r="BU408">
        <v>0</v>
      </c>
      <c r="BV408">
        <v>0</v>
      </c>
      <c r="BW408">
        <v>0</v>
      </c>
      <c r="BX408">
        <v>0</v>
      </c>
      <c r="BY408">
        <v>0</v>
      </c>
      <c r="BZ408">
        <v>0</v>
      </c>
      <c r="CA408">
        <v>0</v>
      </c>
      <c r="CB408">
        <v>0</v>
      </c>
    </row>
    <row r="409" spans="1:80" x14ac:dyDescent="0.2">
      <c r="A409">
        <v>0</v>
      </c>
      <c r="B409">
        <v>0</v>
      </c>
      <c r="C409">
        <v>0</v>
      </c>
      <c r="D409">
        <v>0</v>
      </c>
      <c r="E409">
        <v>0</v>
      </c>
      <c r="F409">
        <v>0</v>
      </c>
      <c r="G409">
        <v>0</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v>0</v>
      </c>
      <c r="BI409">
        <v>0</v>
      </c>
      <c r="BJ409">
        <v>0</v>
      </c>
      <c r="BK409">
        <v>0</v>
      </c>
      <c r="BL409">
        <v>0</v>
      </c>
      <c r="BM409">
        <v>0</v>
      </c>
      <c r="BN409">
        <v>0</v>
      </c>
      <c r="BO409">
        <v>0</v>
      </c>
      <c r="BP409">
        <v>0</v>
      </c>
      <c r="BQ409">
        <v>0</v>
      </c>
      <c r="BR409">
        <v>0</v>
      </c>
      <c r="BS409">
        <v>0</v>
      </c>
      <c r="BT409">
        <v>0</v>
      </c>
      <c r="BU409">
        <v>0</v>
      </c>
      <c r="BV409">
        <v>0</v>
      </c>
      <c r="BW409">
        <v>0</v>
      </c>
      <c r="BX409">
        <v>0</v>
      </c>
      <c r="BY409">
        <v>0</v>
      </c>
      <c r="BZ409">
        <v>0</v>
      </c>
      <c r="CA409">
        <v>0</v>
      </c>
      <c r="CB409">
        <v>0</v>
      </c>
    </row>
    <row r="410" spans="1:80" x14ac:dyDescent="0.2">
      <c r="A410">
        <v>0</v>
      </c>
      <c r="B410">
        <v>0</v>
      </c>
      <c r="C410">
        <v>0</v>
      </c>
      <c r="D410">
        <v>0</v>
      </c>
      <c r="E410">
        <v>0</v>
      </c>
      <c r="F410">
        <v>0</v>
      </c>
      <c r="G410">
        <v>0</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c r="BY410">
        <v>0</v>
      </c>
      <c r="BZ410">
        <v>0</v>
      </c>
      <c r="CA410">
        <v>0</v>
      </c>
      <c r="CB410">
        <v>0</v>
      </c>
    </row>
    <row r="411" spans="1:80" x14ac:dyDescent="0.2">
      <c r="A411">
        <v>0</v>
      </c>
      <c r="B411">
        <v>0</v>
      </c>
      <c r="C411">
        <v>0</v>
      </c>
      <c r="D411">
        <v>0</v>
      </c>
      <c r="E411">
        <v>0</v>
      </c>
      <c r="F411">
        <v>0</v>
      </c>
      <c r="G411">
        <v>0</v>
      </c>
      <c r="H411">
        <v>0</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J411">
        <v>0</v>
      </c>
      <c r="BK411">
        <v>0</v>
      </c>
      <c r="BL411">
        <v>0</v>
      </c>
      <c r="BM411">
        <v>0</v>
      </c>
      <c r="BN411">
        <v>0</v>
      </c>
      <c r="BO411">
        <v>0</v>
      </c>
      <c r="BP411">
        <v>0</v>
      </c>
      <c r="BQ411">
        <v>0</v>
      </c>
      <c r="BR411">
        <v>0</v>
      </c>
      <c r="BS411">
        <v>0</v>
      </c>
      <c r="BT411">
        <v>0</v>
      </c>
      <c r="BU411">
        <v>0</v>
      </c>
      <c r="BV411">
        <v>0</v>
      </c>
      <c r="BW411">
        <v>0</v>
      </c>
      <c r="BX411">
        <v>0</v>
      </c>
      <c r="BY411">
        <v>0</v>
      </c>
      <c r="BZ411">
        <v>0</v>
      </c>
      <c r="CA411">
        <v>0</v>
      </c>
      <c r="CB411">
        <v>0</v>
      </c>
    </row>
    <row r="412" spans="1:80" x14ac:dyDescent="0.2">
      <c r="A412">
        <v>0</v>
      </c>
      <c r="B412">
        <v>0</v>
      </c>
      <c r="C412">
        <v>0</v>
      </c>
      <c r="D412">
        <v>0</v>
      </c>
      <c r="E412">
        <v>0</v>
      </c>
      <c r="F412">
        <v>0</v>
      </c>
      <c r="G412">
        <v>0</v>
      </c>
      <c r="H412">
        <v>0</v>
      </c>
      <c r="I412">
        <v>0</v>
      </c>
      <c r="J412">
        <v>0</v>
      </c>
      <c r="K412">
        <v>0</v>
      </c>
      <c r="L412">
        <v>0</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v>0</v>
      </c>
      <c r="BI412">
        <v>0</v>
      </c>
      <c r="BJ412">
        <v>0</v>
      </c>
      <c r="BK412">
        <v>0</v>
      </c>
      <c r="BL412">
        <v>0</v>
      </c>
      <c r="BM412">
        <v>0</v>
      </c>
      <c r="BN412">
        <v>0</v>
      </c>
      <c r="BO412">
        <v>0</v>
      </c>
      <c r="BP412">
        <v>0</v>
      </c>
      <c r="BQ412">
        <v>0</v>
      </c>
      <c r="BR412">
        <v>0</v>
      </c>
      <c r="BS412">
        <v>0</v>
      </c>
      <c r="BT412">
        <v>0</v>
      </c>
      <c r="BU412">
        <v>0</v>
      </c>
      <c r="BV412">
        <v>0</v>
      </c>
      <c r="BW412">
        <v>0</v>
      </c>
      <c r="BX412">
        <v>0</v>
      </c>
      <c r="BY412">
        <v>0</v>
      </c>
      <c r="BZ412">
        <v>0</v>
      </c>
      <c r="CA412">
        <v>0</v>
      </c>
      <c r="CB412">
        <v>0</v>
      </c>
    </row>
    <row r="413" spans="1:80" x14ac:dyDescent="0.2">
      <c r="A413">
        <v>0</v>
      </c>
      <c r="B413">
        <v>0</v>
      </c>
      <c r="C413">
        <v>0</v>
      </c>
      <c r="D413">
        <v>0</v>
      </c>
      <c r="E413">
        <v>0</v>
      </c>
      <c r="F413">
        <v>0</v>
      </c>
      <c r="G413">
        <v>0</v>
      </c>
      <c r="H413">
        <v>0</v>
      </c>
      <c r="I413">
        <v>0</v>
      </c>
      <c r="J413">
        <v>0</v>
      </c>
      <c r="K413">
        <v>0</v>
      </c>
      <c r="L413">
        <v>0</v>
      </c>
      <c r="M413">
        <v>0</v>
      </c>
      <c r="N413">
        <v>0</v>
      </c>
      <c r="O413">
        <v>0</v>
      </c>
      <c r="P413">
        <v>0</v>
      </c>
      <c r="Q413">
        <v>0</v>
      </c>
      <c r="R413">
        <v>0</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0</v>
      </c>
      <c r="BU413">
        <v>0</v>
      </c>
      <c r="BV413">
        <v>0</v>
      </c>
      <c r="BW413">
        <v>0</v>
      </c>
      <c r="BX413">
        <v>0</v>
      </c>
      <c r="BY413">
        <v>0</v>
      </c>
      <c r="BZ413">
        <v>0</v>
      </c>
      <c r="CA413">
        <v>0</v>
      </c>
      <c r="CB413">
        <v>0</v>
      </c>
    </row>
    <row r="414" spans="1:80" x14ac:dyDescent="0.2">
      <c r="A414">
        <v>0</v>
      </c>
      <c r="B414">
        <v>0</v>
      </c>
      <c r="C414">
        <v>0</v>
      </c>
      <c r="D414">
        <v>0</v>
      </c>
      <c r="E414">
        <v>0</v>
      </c>
      <c r="F414">
        <v>0</v>
      </c>
      <c r="G414">
        <v>0</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c r="BZ414">
        <v>0</v>
      </c>
      <c r="CA414">
        <v>0</v>
      </c>
      <c r="CB414">
        <v>0</v>
      </c>
    </row>
    <row r="415" spans="1:80" x14ac:dyDescent="0.2">
      <c r="A415">
        <v>0</v>
      </c>
      <c r="B415">
        <v>0</v>
      </c>
      <c r="C415">
        <v>0</v>
      </c>
      <c r="D415">
        <v>0</v>
      </c>
      <c r="E415">
        <v>0</v>
      </c>
      <c r="F415">
        <v>0</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v>0</v>
      </c>
      <c r="AW415">
        <v>0</v>
      </c>
      <c r="AX415">
        <v>0</v>
      </c>
      <c r="AY415">
        <v>0</v>
      </c>
      <c r="AZ415">
        <v>0</v>
      </c>
      <c r="BA415">
        <v>0</v>
      </c>
      <c r="BB415">
        <v>0</v>
      </c>
      <c r="BC415">
        <v>0</v>
      </c>
      <c r="BD415">
        <v>0</v>
      </c>
      <c r="BE415">
        <v>0</v>
      </c>
      <c r="BF415">
        <v>0</v>
      </c>
      <c r="BG415">
        <v>0</v>
      </c>
      <c r="BH415">
        <v>0</v>
      </c>
      <c r="BI415">
        <v>0</v>
      </c>
      <c r="BJ415">
        <v>0</v>
      </c>
      <c r="BK415">
        <v>0</v>
      </c>
      <c r="BL415">
        <v>0</v>
      </c>
      <c r="BM415">
        <v>0</v>
      </c>
      <c r="BN415">
        <v>0</v>
      </c>
      <c r="BO415">
        <v>0</v>
      </c>
      <c r="BP415">
        <v>0</v>
      </c>
      <c r="BQ415">
        <v>0</v>
      </c>
      <c r="BR415">
        <v>0</v>
      </c>
      <c r="BS415">
        <v>0</v>
      </c>
      <c r="BT415">
        <v>0</v>
      </c>
      <c r="BU415">
        <v>0</v>
      </c>
      <c r="BV415">
        <v>0</v>
      </c>
      <c r="BW415">
        <v>0</v>
      </c>
      <c r="BX415">
        <v>0</v>
      </c>
      <c r="BY415">
        <v>0</v>
      </c>
      <c r="BZ415">
        <v>0</v>
      </c>
      <c r="CA415">
        <v>0</v>
      </c>
      <c r="CB415">
        <v>0</v>
      </c>
    </row>
    <row r="416" spans="1:80" x14ac:dyDescent="0.2">
      <c r="A416">
        <v>0</v>
      </c>
      <c r="B416">
        <v>0</v>
      </c>
      <c r="C416">
        <v>0</v>
      </c>
      <c r="D416">
        <v>0</v>
      </c>
      <c r="E416">
        <v>0</v>
      </c>
      <c r="F416">
        <v>0</v>
      </c>
      <c r="G416">
        <v>0</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c r="BW416">
        <v>0</v>
      </c>
      <c r="BX416">
        <v>0</v>
      </c>
      <c r="BY416">
        <v>0</v>
      </c>
      <c r="BZ416">
        <v>0</v>
      </c>
      <c r="CA416">
        <v>0</v>
      </c>
      <c r="CB416">
        <v>0</v>
      </c>
    </row>
    <row r="417" spans="1:80" x14ac:dyDescent="0.2">
      <c r="A417">
        <v>0</v>
      </c>
      <c r="B417">
        <v>0</v>
      </c>
      <c r="C417">
        <v>0</v>
      </c>
      <c r="D417">
        <v>0</v>
      </c>
      <c r="E417">
        <v>0</v>
      </c>
      <c r="F417">
        <v>0</v>
      </c>
      <c r="G417">
        <v>0</v>
      </c>
      <c r="H417">
        <v>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J417">
        <v>0</v>
      </c>
      <c r="BK417">
        <v>0</v>
      </c>
      <c r="BL417">
        <v>0</v>
      </c>
      <c r="BM417">
        <v>0</v>
      </c>
      <c r="BN417">
        <v>0</v>
      </c>
      <c r="BO417">
        <v>0</v>
      </c>
      <c r="BP417">
        <v>0</v>
      </c>
      <c r="BQ417">
        <v>0</v>
      </c>
      <c r="BR417">
        <v>0</v>
      </c>
      <c r="BS417">
        <v>0</v>
      </c>
      <c r="BT417">
        <v>0</v>
      </c>
      <c r="BU417">
        <v>0</v>
      </c>
      <c r="BV417">
        <v>0</v>
      </c>
      <c r="BW417">
        <v>0</v>
      </c>
      <c r="BX417">
        <v>0</v>
      </c>
      <c r="BY417">
        <v>0</v>
      </c>
      <c r="BZ417">
        <v>0</v>
      </c>
      <c r="CA417">
        <v>0</v>
      </c>
      <c r="CB417">
        <v>0</v>
      </c>
    </row>
    <row r="418" spans="1:80" x14ac:dyDescent="0.2">
      <c r="A418">
        <v>0</v>
      </c>
      <c r="B418">
        <v>0</v>
      </c>
      <c r="C418">
        <v>0</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c r="BW418">
        <v>0</v>
      </c>
      <c r="BX418">
        <v>0</v>
      </c>
      <c r="BY418">
        <v>0</v>
      </c>
      <c r="BZ418">
        <v>0</v>
      </c>
      <c r="CA418">
        <v>0</v>
      </c>
      <c r="CB418">
        <v>0</v>
      </c>
    </row>
    <row r="420" spans="1:80" x14ac:dyDescent="0.2">
      <c r="A420" s="11" t="s">
        <v>53</v>
      </c>
    </row>
    <row r="421" spans="1:80" x14ac:dyDescent="0.2">
      <c r="A421">
        <f t="array" ref="A421:CB500">MMULT(_motor!$A$93:$CB$172,_motor!$A$93:$CB$172)</f>
        <v>0</v>
      </c>
      <c r="B421">
        <v>0</v>
      </c>
      <c r="C421">
        <v>0</v>
      </c>
      <c r="D421">
        <v>0</v>
      </c>
      <c r="E421">
        <v>0</v>
      </c>
      <c r="F421">
        <v>0</v>
      </c>
      <c r="G421">
        <v>0</v>
      </c>
      <c r="H421">
        <v>0</v>
      </c>
      <c r="I421">
        <v>0</v>
      </c>
      <c r="J421">
        <v>0</v>
      </c>
      <c r="K421">
        <v>0</v>
      </c>
      <c r="L421">
        <v>0</v>
      </c>
      <c r="M421">
        <v>0</v>
      </c>
      <c r="N421">
        <v>0</v>
      </c>
      <c r="O421">
        <v>0</v>
      </c>
      <c r="P421">
        <v>0</v>
      </c>
      <c r="Q421">
        <v>0</v>
      </c>
      <c r="R421">
        <v>0</v>
      </c>
      <c r="S421">
        <v>0</v>
      </c>
      <c r="T421">
        <v>0</v>
      </c>
      <c r="U421">
        <v>0</v>
      </c>
      <c r="V421">
        <v>0</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J421">
        <v>0</v>
      </c>
      <c r="BK421">
        <v>0</v>
      </c>
      <c r="BL421">
        <v>0</v>
      </c>
      <c r="BM421">
        <v>0</v>
      </c>
      <c r="BN421">
        <v>0</v>
      </c>
      <c r="BO421">
        <v>0</v>
      </c>
      <c r="BP421">
        <v>0</v>
      </c>
      <c r="BQ421">
        <v>0</v>
      </c>
      <c r="BR421">
        <v>0</v>
      </c>
      <c r="BS421">
        <v>0</v>
      </c>
      <c r="BT421">
        <v>0</v>
      </c>
      <c r="BU421">
        <v>0</v>
      </c>
      <c r="BV421">
        <v>0</v>
      </c>
      <c r="BW421">
        <v>0</v>
      </c>
      <c r="BX421">
        <v>0</v>
      </c>
      <c r="BY421">
        <v>0</v>
      </c>
      <c r="BZ421">
        <v>0</v>
      </c>
      <c r="CA421">
        <v>0</v>
      </c>
      <c r="CB421">
        <v>0</v>
      </c>
    </row>
    <row r="422" spans="1:80" x14ac:dyDescent="0.2">
      <c r="A422">
        <v>0</v>
      </c>
      <c r="B422">
        <v>0</v>
      </c>
      <c r="C422">
        <v>0</v>
      </c>
      <c r="D422">
        <v>0</v>
      </c>
      <c r="E422">
        <v>0</v>
      </c>
      <c r="F422">
        <v>0</v>
      </c>
      <c r="G422">
        <v>0</v>
      </c>
      <c r="H422">
        <v>0</v>
      </c>
      <c r="I422">
        <v>0</v>
      </c>
      <c r="J422">
        <v>0</v>
      </c>
      <c r="K422">
        <v>0</v>
      </c>
      <c r="L422">
        <v>0</v>
      </c>
      <c r="M422">
        <v>0</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0</v>
      </c>
      <c r="BM422">
        <v>0</v>
      </c>
      <c r="BN422">
        <v>0</v>
      </c>
      <c r="BO422">
        <v>0</v>
      </c>
      <c r="BP422">
        <v>0</v>
      </c>
      <c r="BQ422">
        <v>0</v>
      </c>
      <c r="BR422">
        <v>0</v>
      </c>
      <c r="BS422">
        <v>0</v>
      </c>
      <c r="BT422">
        <v>0</v>
      </c>
      <c r="BU422">
        <v>0</v>
      </c>
      <c r="BV422">
        <v>0</v>
      </c>
      <c r="BW422">
        <v>0</v>
      </c>
      <c r="BX422">
        <v>0</v>
      </c>
      <c r="BY422">
        <v>0</v>
      </c>
      <c r="BZ422">
        <v>0</v>
      </c>
      <c r="CA422">
        <v>0</v>
      </c>
      <c r="CB422">
        <v>0</v>
      </c>
    </row>
    <row r="423" spans="1:80" x14ac:dyDescent="0.2">
      <c r="A423">
        <v>0</v>
      </c>
      <c r="B423">
        <v>0</v>
      </c>
      <c r="C423">
        <v>0</v>
      </c>
      <c r="D423">
        <v>0</v>
      </c>
      <c r="E423">
        <v>0</v>
      </c>
      <c r="F423">
        <v>0</v>
      </c>
      <c r="G423">
        <v>0</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v>0</v>
      </c>
      <c r="BI423">
        <v>0</v>
      </c>
      <c r="BJ423">
        <v>0</v>
      </c>
      <c r="BK423">
        <v>0</v>
      </c>
      <c r="BL423">
        <v>0</v>
      </c>
      <c r="BM423">
        <v>0</v>
      </c>
      <c r="BN423">
        <v>0</v>
      </c>
      <c r="BO423">
        <v>0</v>
      </c>
      <c r="BP423">
        <v>0</v>
      </c>
      <c r="BQ423">
        <v>0</v>
      </c>
      <c r="BR423">
        <v>0</v>
      </c>
      <c r="BS423">
        <v>0</v>
      </c>
      <c r="BT423">
        <v>0</v>
      </c>
      <c r="BU423">
        <v>0</v>
      </c>
      <c r="BV423">
        <v>0</v>
      </c>
      <c r="BW423">
        <v>0</v>
      </c>
      <c r="BX423">
        <v>0</v>
      </c>
      <c r="BY423">
        <v>0</v>
      </c>
      <c r="BZ423">
        <v>0</v>
      </c>
      <c r="CA423">
        <v>0</v>
      </c>
      <c r="CB423">
        <v>0</v>
      </c>
    </row>
    <row r="424" spans="1:80" x14ac:dyDescent="0.2">
      <c r="A424">
        <v>0</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0</v>
      </c>
      <c r="BT424">
        <v>0</v>
      </c>
      <c r="BU424">
        <v>0</v>
      </c>
      <c r="BV424">
        <v>0</v>
      </c>
      <c r="BW424">
        <v>0</v>
      </c>
      <c r="BX424">
        <v>0</v>
      </c>
      <c r="BY424">
        <v>0</v>
      </c>
      <c r="BZ424">
        <v>0</v>
      </c>
      <c r="CA424">
        <v>0</v>
      </c>
      <c r="CB424">
        <v>0</v>
      </c>
    </row>
    <row r="425" spans="1:80" x14ac:dyDescent="0.2">
      <c r="A425">
        <v>0</v>
      </c>
      <c r="B425">
        <v>0</v>
      </c>
      <c r="C425">
        <v>0</v>
      </c>
      <c r="D425">
        <v>0</v>
      </c>
      <c r="E425">
        <v>0</v>
      </c>
      <c r="F425">
        <v>0</v>
      </c>
      <c r="G425">
        <v>0</v>
      </c>
      <c r="H425">
        <v>0</v>
      </c>
      <c r="I425">
        <v>0</v>
      </c>
      <c r="J425">
        <v>0</v>
      </c>
      <c r="K425">
        <v>0</v>
      </c>
      <c r="L425">
        <v>0</v>
      </c>
      <c r="M425">
        <v>0</v>
      </c>
      <c r="N425">
        <v>0</v>
      </c>
      <c r="O425">
        <v>0</v>
      </c>
      <c r="P425">
        <v>0</v>
      </c>
      <c r="Q425">
        <v>0</v>
      </c>
      <c r="R425">
        <v>0</v>
      </c>
      <c r="S425">
        <v>0</v>
      </c>
      <c r="T425">
        <v>0</v>
      </c>
      <c r="U425">
        <v>0</v>
      </c>
      <c r="V425">
        <v>0</v>
      </c>
      <c r="W425">
        <v>0</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0</v>
      </c>
      <c r="BB425">
        <v>0</v>
      </c>
      <c r="BC425">
        <v>0</v>
      </c>
      <c r="BD425">
        <v>0</v>
      </c>
      <c r="BE425">
        <v>0</v>
      </c>
      <c r="BF425">
        <v>0</v>
      </c>
      <c r="BG425">
        <v>0</v>
      </c>
      <c r="BH425">
        <v>0</v>
      </c>
      <c r="BI425">
        <v>0</v>
      </c>
      <c r="BJ425">
        <v>0</v>
      </c>
      <c r="BK425">
        <v>0</v>
      </c>
      <c r="BL425">
        <v>0</v>
      </c>
      <c r="BM425">
        <v>0</v>
      </c>
      <c r="BN425">
        <v>0</v>
      </c>
      <c r="BO425">
        <v>0</v>
      </c>
      <c r="BP425">
        <v>0</v>
      </c>
      <c r="BQ425">
        <v>0</v>
      </c>
      <c r="BR425">
        <v>0</v>
      </c>
      <c r="BS425">
        <v>0</v>
      </c>
      <c r="BT425">
        <v>0</v>
      </c>
      <c r="BU425">
        <v>0</v>
      </c>
      <c r="BV425">
        <v>0</v>
      </c>
      <c r="BW425">
        <v>0</v>
      </c>
      <c r="BX425">
        <v>0</v>
      </c>
      <c r="BY425">
        <v>0</v>
      </c>
      <c r="BZ425">
        <v>0</v>
      </c>
      <c r="CA425">
        <v>0</v>
      </c>
      <c r="CB425">
        <v>0</v>
      </c>
    </row>
    <row r="426" spans="1:80" x14ac:dyDescent="0.2">
      <c r="A426">
        <v>0</v>
      </c>
      <c r="B426">
        <v>0</v>
      </c>
      <c r="C426">
        <v>0</v>
      </c>
      <c r="D426">
        <v>0</v>
      </c>
      <c r="E426">
        <v>0</v>
      </c>
      <c r="F426">
        <v>0</v>
      </c>
      <c r="G426">
        <v>0</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0</v>
      </c>
      <c r="BN426">
        <v>0</v>
      </c>
      <c r="BO426">
        <v>0</v>
      </c>
      <c r="BP426">
        <v>0</v>
      </c>
      <c r="BQ426">
        <v>0</v>
      </c>
      <c r="BR426">
        <v>0</v>
      </c>
      <c r="BS426">
        <v>0</v>
      </c>
      <c r="BT426">
        <v>0</v>
      </c>
      <c r="BU426">
        <v>0</v>
      </c>
      <c r="BV426">
        <v>0</v>
      </c>
      <c r="BW426">
        <v>0</v>
      </c>
      <c r="BX426">
        <v>0</v>
      </c>
      <c r="BY426">
        <v>0</v>
      </c>
      <c r="BZ426">
        <v>0</v>
      </c>
      <c r="CA426">
        <v>0</v>
      </c>
      <c r="CB426">
        <v>0</v>
      </c>
    </row>
    <row r="427" spans="1:80" x14ac:dyDescent="0.2">
      <c r="A427">
        <v>0</v>
      </c>
      <c r="B427">
        <v>0</v>
      </c>
      <c r="C427">
        <v>0</v>
      </c>
      <c r="D427">
        <v>0</v>
      </c>
      <c r="E427">
        <v>0</v>
      </c>
      <c r="F427">
        <v>0</v>
      </c>
      <c r="G427">
        <v>0</v>
      </c>
      <c r="H427">
        <v>0</v>
      </c>
      <c r="I427">
        <v>0</v>
      </c>
      <c r="J427">
        <v>0</v>
      </c>
      <c r="K427">
        <v>0</v>
      </c>
      <c r="L427">
        <v>0</v>
      </c>
      <c r="M427">
        <v>0</v>
      </c>
      <c r="N427">
        <v>0</v>
      </c>
      <c r="O427">
        <v>0</v>
      </c>
      <c r="P427">
        <v>0</v>
      </c>
      <c r="Q427">
        <v>0</v>
      </c>
      <c r="R427">
        <v>0</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c r="BW427">
        <v>0</v>
      </c>
      <c r="BX427">
        <v>0</v>
      </c>
      <c r="BY427">
        <v>0</v>
      </c>
      <c r="BZ427">
        <v>0</v>
      </c>
      <c r="CA427">
        <v>0</v>
      </c>
      <c r="CB427">
        <v>0</v>
      </c>
    </row>
    <row r="428" spans="1:80" x14ac:dyDescent="0.2">
      <c r="A428">
        <v>0</v>
      </c>
      <c r="B428">
        <v>0</v>
      </c>
      <c r="C428">
        <v>0</v>
      </c>
      <c r="D428">
        <v>0</v>
      </c>
      <c r="E428">
        <v>0</v>
      </c>
      <c r="F428">
        <v>0</v>
      </c>
      <c r="G428">
        <v>0</v>
      </c>
      <c r="H428">
        <v>0</v>
      </c>
      <c r="I428">
        <v>0</v>
      </c>
      <c r="J428">
        <v>0</v>
      </c>
      <c r="K428">
        <v>0</v>
      </c>
      <c r="L428">
        <v>0</v>
      </c>
      <c r="M428">
        <v>0</v>
      </c>
      <c r="N428">
        <v>0</v>
      </c>
      <c r="O428">
        <v>0</v>
      </c>
      <c r="P428">
        <v>0</v>
      </c>
      <c r="Q428">
        <v>0</v>
      </c>
      <c r="R428">
        <v>0</v>
      </c>
      <c r="S428">
        <v>0</v>
      </c>
      <c r="T428">
        <v>0</v>
      </c>
      <c r="U428">
        <v>0</v>
      </c>
      <c r="V428">
        <v>0</v>
      </c>
      <c r="W428">
        <v>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v>0</v>
      </c>
      <c r="AU428">
        <v>0</v>
      </c>
      <c r="AV428">
        <v>0</v>
      </c>
      <c r="AW428">
        <v>0</v>
      </c>
      <c r="AX428">
        <v>0</v>
      </c>
      <c r="AY428">
        <v>0</v>
      </c>
      <c r="AZ428">
        <v>0</v>
      </c>
      <c r="BA428">
        <v>0</v>
      </c>
      <c r="BB428">
        <v>0</v>
      </c>
      <c r="BC428">
        <v>0</v>
      </c>
      <c r="BD428">
        <v>0</v>
      </c>
      <c r="BE428">
        <v>0</v>
      </c>
      <c r="BF428">
        <v>0</v>
      </c>
      <c r="BG428">
        <v>0</v>
      </c>
      <c r="BH428">
        <v>0</v>
      </c>
      <c r="BI428">
        <v>0</v>
      </c>
      <c r="BJ428">
        <v>0</v>
      </c>
      <c r="BK428">
        <v>0</v>
      </c>
      <c r="BL428">
        <v>0</v>
      </c>
      <c r="BM428">
        <v>0</v>
      </c>
      <c r="BN428">
        <v>0</v>
      </c>
      <c r="BO428">
        <v>0</v>
      </c>
      <c r="BP428">
        <v>0</v>
      </c>
      <c r="BQ428">
        <v>0</v>
      </c>
      <c r="BR428">
        <v>0</v>
      </c>
      <c r="BS428">
        <v>0</v>
      </c>
      <c r="BT428">
        <v>0</v>
      </c>
      <c r="BU428">
        <v>0</v>
      </c>
      <c r="BV428">
        <v>0</v>
      </c>
      <c r="BW428">
        <v>0</v>
      </c>
      <c r="BX428">
        <v>0</v>
      </c>
      <c r="BY428">
        <v>0</v>
      </c>
      <c r="BZ428">
        <v>0</v>
      </c>
      <c r="CA428">
        <v>0</v>
      </c>
      <c r="CB428">
        <v>0</v>
      </c>
    </row>
    <row r="429" spans="1:80" x14ac:dyDescent="0.2">
      <c r="A429">
        <v>0</v>
      </c>
      <c r="B429">
        <v>0</v>
      </c>
      <c r="C429">
        <v>0</v>
      </c>
      <c r="D429">
        <v>0</v>
      </c>
      <c r="E429">
        <v>0</v>
      </c>
      <c r="F429">
        <v>0</v>
      </c>
      <c r="G429">
        <v>0</v>
      </c>
      <c r="H429">
        <v>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v>
      </c>
      <c r="BF429">
        <v>0</v>
      </c>
      <c r="BG429">
        <v>0</v>
      </c>
      <c r="BH429">
        <v>0</v>
      </c>
      <c r="BI429">
        <v>0</v>
      </c>
      <c r="BJ429">
        <v>0</v>
      </c>
      <c r="BK429">
        <v>0</v>
      </c>
      <c r="BL429">
        <v>0</v>
      </c>
      <c r="BM429">
        <v>0</v>
      </c>
      <c r="BN429">
        <v>0</v>
      </c>
      <c r="BO429">
        <v>0</v>
      </c>
      <c r="BP429">
        <v>0</v>
      </c>
      <c r="BQ429">
        <v>0</v>
      </c>
      <c r="BR429">
        <v>0</v>
      </c>
      <c r="BS429">
        <v>0</v>
      </c>
      <c r="BT429">
        <v>0</v>
      </c>
      <c r="BU429">
        <v>0</v>
      </c>
      <c r="BV429">
        <v>0</v>
      </c>
      <c r="BW429">
        <v>0</v>
      </c>
      <c r="BX429">
        <v>0</v>
      </c>
      <c r="BY429">
        <v>0</v>
      </c>
      <c r="BZ429">
        <v>0</v>
      </c>
      <c r="CA429">
        <v>0</v>
      </c>
      <c r="CB429">
        <v>0</v>
      </c>
    </row>
    <row r="430" spans="1:80" x14ac:dyDescent="0.2">
      <c r="A430">
        <v>0</v>
      </c>
      <c r="B430">
        <v>0</v>
      </c>
      <c r="C430">
        <v>0</v>
      </c>
      <c r="D430">
        <v>0</v>
      </c>
      <c r="E430">
        <v>0</v>
      </c>
      <c r="F430">
        <v>0</v>
      </c>
      <c r="G430">
        <v>0</v>
      </c>
      <c r="H430">
        <v>0</v>
      </c>
      <c r="I430">
        <v>0</v>
      </c>
      <c r="J430">
        <v>0</v>
      </c>
      <c r="K430">
        <v>0</v>
      </c>
      <c r="L430">
        <v>0</v>
      </c>
      <c r="M430">
        <v>0</v>
      </c>
      <c r="N430">
        <v>0</v>
      </c>
      <c r="O430">
        <v>0</v>
      </c>
      <c r="P430">
        <v>0</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v>0</v>
      </c>
      <c r="BI430">
        <v>0</v>
      </c>
      <c r="BJ430">
        <v>0</v>
      </c>
      <c r="BK430">
        <v>0</v>
      </c>
      <c r="BL430">
        <v>0</v>
      </c>
      <c r="BM430">
        <v>0</v>
      </c>
      <c r="BN430">
        <v>0</v>
      </c>
      <c r="BO430">
        <v>0</v>
      </c>
      <c r="BP430">
        <v>0</v>
      </c>
      <c r="BQ430">
        <v>0</v>
      </c>
      <c r="BR430">
        <v>0</v>
      </c>
      <c r="BS430">
        <v>0</v>
      </c>
      <c r="BT430">
        <v>0</v>
      </c>
      <c r="BU430">
        <v>0</v>
      </c>
      <c r="BV430">
        <v>0</v>
      </c>
      <c r="BW430">
        <v>0</v>
      </c>
      <c r="BX430">
        <v>0</v>
      </c>
      <c r="BY430">
        <v>0</v>
      </c>
      <c r="BZ430">
        <v>0</v>
      </c>
      <c r="CA430">
        <v>0</v>
      </c>
      <c r="CB430">
        <v>0</v>
      </c>
    </row>
    <row r="431" spans="1:80" x14ac:dyDescent="0.2">
      <c r="A431">
        <v>0</v>
      </c>
      <c r="B431">
        <v>0</v>
      </c>
      <c r="C431">
        <v>0</v>
      </c>
      <c r="D431">
        <v>0</v>
      </c>
      <c r="E431">
        <v>0</v>
      </c>
      <c r="F431">
        <v>0</v>
      </c>
      <c r="G431">
        <v>0</v>
      </c>
      <c r="H431">
        <v>0</v>
      </c>
      <c r="I431">
        <v>0</v>
      </c>
      <c r="J431">
        <v>0</v>
      </c>
      <c r="K431">
        <v>0</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0</v>
      </c>
      <c r="BE431">
        <v>0</v>
      </c>
      <c r="BF431">
        <v>0</v>
      </c>
      <c r="BG431">
        <v>0</v>
      </c>
      <c r="BH431">
        <v>0</v>
      </c>
      <c r="BI431">
        <v>0</v>
      </c>
      <c r="BJ431">
        <v>0</v>
      </c>
      <c r="BK431">
        <v>0</v>
      </c>
      <c r="BL431">
        <v>0</v>
      </c>
      <c r="BM431">
        <v>0</v>
      </c>
      <c r="BN431">
        <v>0</v>
      </c>
      <c r="BO431">
        <v>0</v>
      </c>
      <c r="BP431">
        <v>0</v>
      </c>
      <c r="BQ431">
        <v>0</v>
      </c>
      <c r="BR431">
        <v>0</v>
      </c>
      <c r="BS431">
        <v>0</v>
      </c>
      <c r="BT431">
        <v>0</v>
      </c>
      <c r="BU431">
        <v>0</v>
      </c>
      <c r="BV431">
        <v>0</v>
      </c>
      <c r="BW431">
        <v>0</v>
      </c>
      <c r="BX431">
        <v>0</v>
      </c>
      <c r="BY431">
        <v>0</v>
      </c>
      <c r="BZ431">
        <v>0</v>
      </c>
      <c r="CA431">
        <v>0</v>
      </c>
      <c r="CB431">
        <v>0</v>
      </c>
    </row>
    <row r="432" spans="1:80" x14ac:dyDescent="0.2">
      <c r="A432">
        <v>0</v>
      </c>
      <c r="B432">
        <v>0</v>
      </c>
      <c r="C432">
        <v>0</v>
      </c>
      <c r="D432">
        <v>0</v>
      </c>
      <c r="E432">
        <v>0</v>
      </c>
      <c r="F432">
        <v>0</v>
      </c>
      <c r="G432">
        <v>0</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v>0</v>
      </c>
      <c r="BI432">
        <v>0</v>
      </c>
      <c r="BJ432">
        <v>0</v>
      </c>
      <c r="BK432">
        <v>0</v>
      </c>
      <c r="BL432">
        <v>0</v>
      </c>
      <c r="BM432">
        <v>0</v>
      </c>
      <c r="BN432">
        <v>0</v>
      </c>
      <c r="BO432">
        <v>0</v>
      </c>
      <c r="BP432">
        <v>0</v>
      </c>
      <c r="BQ432">
        <v>0</v>
      </c>
      <c r="BR432">
        <v>0</v>
      </c>
      <c r="BS432">
        <v>0</v>
      </c>
      <c r="BT432">
        <v>0</v>
      </c>
      <c r="BU432">
        <v>0</v>
      </c>
      <c r="BV432">
        <v>0</v>
      </c>
      <c r="BW432">
        <v>0</v>
      </c>
      <c r="BX432">
        <v>0</v>
      </c>
      <c r="BY432">
        <v>0</v>
      </c>
      <c r="BZ432">
        <v>0</v>
      </c>
      <c r="CA432">
        <v>0</v>
      </c>
      <c r="CB432">
        <v>0</v>
      </c>
    </row>
    <row r="433" spans="1:80" x14ac:dyDescent="0.2">
      <c r="A433">
        <v>0</v>
      </c>
      <c r="B433">
        <v>0</v>
      </c>
      <c r="C433">
        <v>0</v>
      </c>
      <c r="D433">
        <v>0</v>
      </c>
      <c r="E433">
        <v>0</v>
      </c>
      <c r="F433">
        <v>0</v>
      </c>
      <c r="G433">
        <v>0</v>
      </c>
      <c r="H433">
        <v>0</v>
      </c>
      <c r="I433">
        <v>0</v>
      </c>
      <c r="J433">
        <v>0</v>
      </c>
      <c r="K433">
        <v>0</v>
      </c>
      <c r="L433">
        <v>0</v>
      </c>
      <c r="M433">
        <v>0</v>
      </c>
      <c r="N433">
        <v>0</v>
      </c>
      <c r="O433">
        <v>0</v>
      </c>
      <c r="P433">
        <v>0</v>
      </c>
      <c r="Q433">
        <v>0</v>
      </c>
      <c r="R433">
        <v>0</v>
      </c>
      <c r="S433">
        <v>0</v>
      </c>
      <c r="T433">
        <v>0</v>
      </c>
      <c r="U433">
        <v>0</v>
      </c>
      <c r="V433">
        <v>0</v>
      </c>
      <c r="W433">
        <v>0</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0</v>
      </c>
      <c r="BU433">
        <v>0</v>
      </c>
      <c r="BV433">
        <v>0</v>
      </c>
      <c r="BW433">
        <v>0</v>
      </c>
      <c r="BX433">
        <v>0</v>
      </c>
      <c r="BY433">
        <v>0</v>
      </c>
      <c r="BZ433">
        <v>0</v>
      </c>
      <c r="CA433">
        <v>0</v>
      </c>
      <c r="CB433">
        <v>0</v>
      </c>
    </row>
    <row r="434" spans="1:80" x14ac:dyDescent="0.2">
      <c r="A434">
        <v>0</v>
      </c>
      <c r="B434">
        <v>0</v>
      </c>
      <c r="C434">
        <v>0</v>
      </c>
      <c r="D434">
        <v>0</v>
      </c>
      <c r="E434">
        <v>0</v>
      </c>
      <c r="F434">
        <v>0</v>
      </c>
      <c r="G434">
        <v>0</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0</v>
      </c>
      <c r="BJ434">
        <v>0</v>
      </c>
      <c r="BK434">
        <v>0</v>
      </c>
      <c r="BL434">
        <v>0</v>
      </c>
      <c r="BM434">
        <v>0</v>
      </c>
      <c r="BN434">
        <v>0</v>
      </c>
      <c r="BO434">
        <v>0</v>
      </c>
      <c r="BP434">
        <v>0</v>
      </c>
      <c r="BQ434">
        <v>0</v>
      </c>
      <c r="BR434">
        <v>0</v>
      </c>
      <c r="BS434">
        <v>0</v>
      </c>
      <c r="BT434">
        <v>0</v>
      </c>
      <c r="BU434">
        <v>0</v>
      </c>
      <c r="BV434">
        <v>0</v>
      </c>
      <c r="BW434">
        <v>0</v>
      </c>
      <c r="BX434">
        <v>0</v>
      </c>
      <c r="BY434">
        <v>0</v>
      </c>
      <c r="BZ434">
        <v>0</v>
      </c>
      <c r="CA434">
        <v>0</v>
      </c>
      <c r="CB434">
        <v>0</v>
      </c>
    </row>
    <row r="435" spans="1:80" x14ac:dyDescent="0.2">
      <c r="A435">
        <v>0</v>
      </c>
      <c r="B435">
        <v>0</v>
      </c>
      <c r="C435">
        <v>0</v>
      </c>
      <c r="D435">
        <v>0</v>
      </c>
      <c r="E435">
        <v>0</v>
      </c>
      <c r="F435">
        <v>0</v>
      </c>
      <c r="G435">
        <v>0</v>
      </c>
      <c r="H435">
        <v>0</v>
      </c>
      <c r="I435">
        <v>0</v>
      </c>
      <c r="J435">
        <v>0</v>
      </c>
      <c r="K435">
        <v>0</v>
      </c>
      <c r="L435">
        <v>0</v>
      </c>
      <c r="M435">
        <v>0</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0</v>
      </c>
      <c r="BY435">
        <v>0</v>
      </c>
      <c r="BZ435">
        <v>0</v>
      </c>
      <c r="CA435">
        <v>0</v>
      </c>
      <c r="CB435">
        <v>0</v>
      </c>
    </row>
    <row r="436" spans="1:80" x14ac:dyDescent="0.2">
      <c r="A436">
        <v>0</v>
      </c>
      <c r="B436">
        <v>0</v>
      </c>
      <c r="C436">
        <v>0</v>
      </c>
      <c r="D436">
        <v>0</v>
      </c>
      <c r="E436">
        <v>0</v>
      </c>
      <c r="F436">
        <v>0</v>
      </c>
      <c r="G436">
        <v>0</v>
      </c>
      <c r="H436">
        <v>0</v>
      </c>
      <c r="I436">
        <v>0</v>
      </c>
      <c r="J436">
        <v>0</v>
      </c>
      <c r="K436">
        <v>0</v>
      </c>
      <c r="L436">
        <v>0</v>
      </c>
      <c r="M436">
        <v>0</v>
      </c>
      <c r="N436">
        <v>0</v>
      </c>
      <c r="O436">
        <v>0</v>
      </c>
      <c r="P436">
        <v>0</v>
      </c>
      <c r="Q436">
        <v>0</v>
      </c>
      <c r="R436">
        <v>0</v>
      </c>
      <c r="S436">
        <v>0</v>
      </c>
      <c r="T436">
        <v>0</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0</v>
      </c>
      <c r="BU436">
        <v>0</v>
      </c>
      <c r="BV436">
        <v>0</v>
      </c>
      <c r="BW436">
        <v>0</v>
      </c>
      <c r="BX436">
        <v>0</v>
      </c>
      <c r="BY436">
        <v>0</v>
      </c>
      <c r="BZ436">
        <v>0</v>
      </c>
      <c r="CA436">
        <v>0</v>
      </c>
      <c r="CB436">
        <v>0</v>
      </c>
    </row>
    <row r="437" spans="1:80" x14ac:dyDescent="0.2">
      <c r="A437">
        <v>0</v>
      </c>
      <c r="B437">
        <v>0</v>
      </c>
      <c r="C437">
        <v>0</v>
      </c>
      <c r="D437">
        <v>0</v>
      </c>
      <c r="E437">
        <v>0</v>
      </c>
      <c r="F437">
        <v>0</v>
      </c>
      <c r="G437">
        <v>0</v>
      </c>
      <c r="H437">
        <v>0</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v>0</v>
      </c>
      <c r="BI437">
        <v>0</v>
      </c>
      <c r="BJ437">
        <v>0</v>
      </c>
      <c r="BK437">
        <v>0</v>
      </c>
      <c r="BL437">
        <v>0</v>
      </c>
      <c r="BM437">
        <v>0</v>
      </c>
      <c r="BN437">
        <v>0</v>
      </c>
      <c r="BO437">
        <v>0</v>
      </c>
      <c r="BP437">
        <v>0</v>
      </c>
      <c r="BQ437">
        <v>0</v>
      </c>
      <c r="BR437">
        <v>0</v>
      </c>
      <c r="BS437">
        <v>0</v>
      </c>
      <c r="BT437">
        <v>0</v>
      </c>
      <c r="BU437">
        <v>0</v>
      </c>
      <c r="BV437">
        <v>0</v>
      </c>
      <c r="BW437">
        <v>0</v>
      </c>
      <c r="BX437">
        <v>0</v>
      </c>
      <c r="BY437">
        <v>0</v>
      </c>
      <c r="BZ437">
        <v>0</v>
      </c>
      <c r="CA437">
        <v>0</v>
      </c>
      <c r="CB437">
        <v>0</v>
      </c>
    </row>
    <row r="438" spans="1:80" x14ac:dyDescent="0.2">
      <c r="A438">
        <v>0</v>
      </c>
      <c r="B438">
        <v>0</v>
      </c>
      <c r="C438">
        <v>0</v>
      </c>
      <c r="D438">
        <v>0</v>
      </c>
      <c r="E438">
        <v>0</v>
      </c>
      <c r="F438">
        <v>0</v>
      </c>
      <c r="G438">
        <v>0</v>
      </c>
      <c r="H438">
        <v>0</v>
      </c>
      <c r="I438">
        <v>0</v>
      </c>
      <c r="J438">
        <v>0</v>
      </c>
      <c r="K438">
        <v>0</v>
      </c>
      <c r="L438">
        <v>0</v>
      </c>
      <c r="M438">
        <v>0</v>
      </c>
      <c r="N438">
        <v>0</v>
      </c>
      <c r="O438">
        <v>0</v>
      </c>
      <c r="P438">
        <v>0</v>
      </c>
      <c r="Q438">
        <v>0</v>
      </c>
      <c r="R438">
        <v>0</v>
      </c>
      <c r="S438">
        <v>0</v>
      </c>
      <c r="T438">
        <v>0</v>
      </c>
      <c r="U438">
        <v>0</v>
      </c>
      <c r="V438">
        <v>0</v>
      </c>
      <c r="W438">
        <v>0</v>
      </c>
      <c r="X438">
        <v>0</v>
      </c>
      <c r="Y438">
        <v>0</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0</v>
      </c>
      <c r="BD438">
        <v>0</v>
      </c>
      <c r="BE438">
        <v>0</v>
      </c>
      <c r="BF438">
        <v>0</v>
      </c>
      <c r="BG438">
        <v>0</v>
      </c>
      <c r="BH438">
        <v>0</v>
      </c>
      <c r="BI438">
        <v>0</v>
      </c>
      <c r="BJ438">
        <v>0</v>
      </c>
      <c r="BK438">
        <v>0</v>
      </c>
      <c r="BL438">
        <v>0</v>
      </c>
      <c r="BM438">
        <v>0</v>
      </c>
      <c r="BN438">
        <v>0</v>
      </c>
      <c r="BO438">
        <v>0</v>
      </c>
      <c r="BP438">
        <v>0</v>
      </c>
      <c r="BQ438">
        <v>0</v>
      </c>
      <c r="BR438">
        <v>0</v>
      </c>
      <c r="BS438">
        <v>0</v>
      </c>
      <c r="BT438">
        <v>0</v>
      </c>
      <c r="BU438">
        <v>0</v>
      </c>
      <c r="BV438">
        <v>0</v>
      </c>
      <c r="BW438">
        <v>0</v>
      </c>
      <c r="BX438">
        <v>0</v>
      </c>
      <c r="BY438">
        <v>0</v>
      </c>
      <c r="BZ438">
        <v>0</v>
      </c>
      <c r="CA438">
        <v>0</v>
      </c>
      <c r="CB438">
        <v>0</v>
      </c>
    </row>
    <row r="439" spans="1:80" x14ac:dyDescent="0.2">
      <c r="A439">
        <v>0</v>
      </c>
      <c r="B439">
        <v>0</v>
      </c>
      <c r="C439">
        <v>0</v>
      </c>
      <c r="D439">
        <v>0</v>
      </c>
      <c r="E439">
        <v>0</v>
      </c>
      <c r="F439">
        <v>0</v>
      </c>
      <c r="G439">
        <v>0</v>
      </c>
      <c r="H439">
        <v>0</v>
      </c>
      <c r="I439">
        <v>0</v>
      </c>
      <c r="J439">
        <v>0</v>
      </c>
      <c r="K439">
        <v>0</v>
      </c>
      <c r="L439">
        <v>0</v>
      </c>
      <c r="M439">
        <v>0</v>
      </c>
      <c r="N439">
        <v>0</v>
      </c>
      <c r="O439">
        <v>0</v>
      </c>
      <c r="P439">
        <v>0</v>
      </c>
      <c r="Q439">
        <v>0</v>
      </c>
      <c r="R439">
        <v>0</v>
      </c>
      <c r="S439">
        <v>0</v>
      </c>
      <c r="T439">
        <v>0</v>
      </c>
      <c r="U439">
        <v>0</v>
      </c>
      <c r="V439">
        <v>0</v>
      </c>
      <c r="W439">
        <v>0</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v>0</v>
      </c>
      <c r="AW439">
        <v>0</v>
      </c>
      <c r="AX439">
        <v>0</v>
      </c>
      <c r="AY439">
        <v>0</v>
      </c>
      <c r="AZ439">
        <v>0</v>
      </c>
      <c r="BA439">
        <v>0</v>
      </c>
      <c r="BB439">
        <v>0</v>
      </c>
      <c r="BC439">
        <v>0</v>
      </c>
      <c r="BD439">
        <v>0</v>
      </c>
      <c r="BE439">
        <v>0</v>
      </c>
      <c r="BF439">
        <v>0</v>
      </c>
      <c r="BG439">
        <v>0</v>
      </c>
      <c r="BH439">
        <v>0</v>
      </c>
      <c r="BI439">
        <v>0</v>
      </c>
      <c r="BJ439">
        <v>0</v>
      </c>
      <c r="BK439">
        <v>0</v>
      </c>
      <c r="BL439">
        <v>0</v>
      </c>
      <c r="BM439">
        <v>0</v>
      </c>
      <c r="BN439">
        <v>0</v>
      </c>
      <c r="BO439">
        <v>0</v>
      </c>
      <c r="BP439">
        <v>0</v>
      </c>
      <c r="BQ439">
        <v>0</v>
      </c>
      <c r="BR439">
        <v>0</v>
      </c>
      <c r="BS439">
        <v>0</v>
      </c>
      <c r="BT439">
        <v>0</v>
      </c>
      <c r="BU439">
        <v>0</v>
      </c>
      <c r="BV439">
        <v>0</v>
      </c>
      <c r="BW439">
        <v>0</v>
      </c>
      <c r="BX439">
        <v>0</v>
      </c>
      <c r="BY439">
        <v>0</v>
      </c>
      <c r="BZ439">
        <v>0</v>
      </c>
      <c r="CA439">
        <v>0</v>
      </c>
      <c r="CB439">
        <v>0</v>
      </c>
    </row>
    <row r="440" spans="1:80" x14ac:dyDescent="0.2">
      <c r="A440">
        <v>0</v>
      </c>
      <c r="B440">
        <v>0</v>
      </c>
      <c r="C440">
        <v>0</v>
      </c>
      <c r="D440">
        <v>0</v>
      </c>
      <c r="E440">
        <v>0</v>
      </c>
      <c r="F440">
        <v>0</v>
      </c>
      <c r="G440">
        <v>0</v>
      </c>
      <c r="H440">
        <v>0</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v>0</v>
      </c>
      <c r="AW440">
        <v>0</v>
      </c>
      <c r="AX440">
        <v>0</v>
      </c>
      <c r="AY440">
        <v>0</v>
      </c>
      <c r="AZ440">
        <v>0</v>
      </c>
      <c r="BA440">
        <v>0</v>
      </c>
      <c r="BB440">
        <v>0</v>
      </c>
      <c r="BC440">
        <v>0</v>
      </c>
      <c r="BD440">
        <v>0</v>
      </c>
      <c r="BE440">
        <v>0</v>
      </c>
      <c r="BF440">
        <v>0</v>
      </c>
      <c r="BG440">
        <v>0</v>
      </c>
      <c r="BH440">
        <v>0</v>
      </c>
      <c r="BI440">
        <v>0</v>
      </c>
      <c r="BJ440">
        <v>0</v>
      </c>
      <c r="BK440">
        <v>0</v>
      </c>
      <c r="BL440">
        <v>0</v>
      </c>
      <c r="BM440">
        <v>0</v>
      </c>
      <c r="BN440">
        <v>0</v>
      </c>
      <c r="BO440">
        <v>0</v>
      </c>
      <c r="BP440">
        <v>0</v>
      </c>
      <c r="BQ440">
        <v>0</v>
      </c>
      <c r="BR440">
        <v>0</v>
      </c>
      <c r="BS440">
        <v>0</v>
      </c>
      <c r="BT440">
        <v>0</v>
      </c>
      <c r="BU440">
        <v>0</v>
      </c>
      <c r="BV440">
        <v>0</v>
      </c>
      <c r="BW440">
        <v>0</v>
      </c>
      <c r="BX440">
        <v>0</v>
      </c>
      <c r="BY440">
        <v>0</v>
      </c>
      <c r="BZ440">
        <v>0</v>
      </c>
      <c r="CA440">
        <v>0</v>
      </c>
      <c r="CB440">
        <v>0</v>
      </c>
    </row>
    <row r="441" spans="1:80" x14ac:dyDescent="0.2">
      <c r="A441">
        <v>0</v>
      </c>
      <c r="B441">
        <v>0</v>
      </c>
      <c r="C441">
        <v>0</v>
      </c>
      <c r="D441">
        <v>0</v>
      </c>
      <c r="E441">
        <v>0</v>
      </c>
      <c r="F441">
        <v>0</v>
      </c>
      <c r="G441">
        <v>0</v>
      </c>
      <c r="H441">
        <v>0</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0</v>
      </c>
      <c r="CB441">
        <v>0</v>
      </c>
    </row>
    <row r="442" spans="1:80" x14ac:dyDescent="0.2">
      <c r="A442">
        <v>0</v>
      </c>
      <c r="B442">
        <v>0</v>
      </c>
      <c r="C442">
        <v>0</v>
      </c>
      <c r="D442">
        <v>0</v>
      </c>
      <c r="E442">
        <v>0</v>
      </c>
      <c r="F442">
        <v>0</v>
      </c>
      <c r="G442">
        <v>0</v>
      </c>
      <c r="H442">
        <v>0</v>
      </c>
      <c r="I442">
        <v>0</v>
      </c>
      <c r="J442">
        <v>0</v>
      </c>
      <c r="K442">
        <v>0</v>
      </c>
      <c r="L442">
        <v>0</v>
      </c>
      <c r="M442">
        <v>0</v>
      </c>
      <c r="N442">
        <v>0</v>
      </c>
      <c r="O442">
        <v>0</v>
      </c>
      <c r="P442">
        <v>0</v>
      </c>
      <c r="Q442">
        <v>0</v>
      </c>
      <c r="R442">
        <v>0</v>
      </c>
      <c r="S442">
        <v>0</v>
      </c>
      <c r="T442">
        <v>0</v>
      </c>
      <c r="U442">
        <v>0</v>
      </c>
      <c r="V442">
        <v>0</v>
      </c>
      <c r="W442">
        <v>0</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J442">
        <v>0</v>
      </c>
      <c r="BK442">
        <v>0</v>
      </c>
      <c r="BL442">
        <v>0</v>
      </c>
      <c r="BM442">
        <v>0</v>
      </c>
      <c r="BN442">
        <v>0</v>
      </c>
      <c r="BO442">
        <v>0</v>
      </c>
      <c r="BP442">
        <v>0</v>
      </c>
      <c r="BQ442">
        <v>0</v>
      </c>
      <c r="BR442">
        <v>0</v>
      </c>
      <c r="BS442">
        <v>0</v>
      </c>
      <c r="BT442">
        <v>0</v>
      </c>
      <c r="BU442">
        <v>0</v>
      </c>
      <c r="BV442">
        <v>0</v>
      </c>
      <c r="BW442">
        <v>0</v>
      </c>
      <c r="BX442">
        <v>0</v>
      </c>
      <c r="BY442">
        <v>0</v>
      </c>
      <c r="BZ442">
        <v>0</v>
      </c>
      <c r="CA442">
        <v>0</v>
      </c>
      <c r="CB442">
        <v>0</v>
      </c>
    </row>
    <row r="443" spans="1:80" x14ac:dyDescent="0.2">
      <c r="A443">
        <v>0</v>
      </c>
      <c r="B443">
        <v>0</v>
      </c>
      <c r="C443">
        <v>0</v>
      </c>
      <c r="D443">
        <v>0</v>
      </c>
      <c r="E443">
        <v>0</v>
      </c>
      <c r="F443">
        <v>0</v>
      </c>
      <c r="G443">
        <v>0</v>
      </c>
      <c r="H443">
        <v>0</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v>0</v>
      </c>
      <c r="AY443">
        <v>0</v>
      </c>
      <c r="AZ443">
        <v>0</v>
      </c>
      <c r="BA443">
        <v>0</v>
      </c>
      <c r="BB443">
        <v>0</v>
      </c>
      <c r="BC443">
        <v>0</v>
      </c>
      <c r="BD443">
        <v>0</v>
      </c>
      <c r="BE443">
        <v>0</v>
      </c>
      <c r="BF443">
        <v>0</v>
      </c>
      <c r="BG443">
        <v>0</v>
      </c>
      <c r="BH443">
        <v>0</v>
      </c>
      <c r="BI443">
        <v>0</v>
      </c>
      <c r="BJ443">
        <v>0</v>
      </c>
      <c r="BK443">
        <v>0</v>
      </c>
      <c r="BL443">
        <v>0</v>
      </c>
      <c r="BM443">
        <v>0</v>
      </c>
      <c r="BN443">
        <v>0</v>
      </c>
      <c r="BO443">
        <v>0</v>
      </c>
      <c r="BP443">
        <v>0</v>
      </c>
      <c r="BQ443">
        <v>0</v>
      </c>
      <c r="BR443">
        <v>0</v>
      </c>
      <c r="BS443">
        <v>0</v>
      </c>
      <c r="BT443">
        <v>0</v>
      </c>
      <c r="BU443">
        <v>0</v>
      </c>
      <c r="BV443">
        <v>0</v>
      </c>
      <c r="BW443">
        <v>0</v>
      </c>
      <c r="BX443">
        <v>0</v>
      </c>
      <c r="BY443">
        <v>0</v>
      </c>
      <c r="BZ443">
        <v>0</v>
      </c>
      <c r="CA443">
        <v>0</v>
      </c>
      <c r="CB443">
        <v>0</v>
      </c>
    </row>
    <row r="444" spans="1:80" x14ac:dyDescent="0.2">
      <c r="A444">
        <v>0</v>
      </c>
      <c r="B444">
        <v>0</v>
      </c>
      <c r="C444">
        <v>0</v>
      </c>
      <c r="D444">
        <v>0</v>
      </c>
      <c r="E444">
        <v>0</v>
      </c>
      <c r="F444">
        <v>0</v>
      </c>
      <c r="G444">
        <v>0</v>
      </c>
      <c r="H444">
        <v>0</v>
      </c>
      <c r="I444">
        <v>0</v>
      </c>
      <c r="J444">
        <v>0</v>
      </c>
      <c r="K444">
        <v>0</v>
      </c>
      <c r="L444">
        <v>0</v>
      </c>
      <c r="M444">
        <v>0</v>
      </c>
      <c r="N444">
        <v>0</v>
      </c>
      <c r="O444">
        <v>0</v>
      </c>
      <c r="P444">
        <v>0</v>
      </c>
      <c r="Q444">
        <v>0</v>
      </c>
      <c r="R444">
        <v>0</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0</v>
      </c>
      <c r="BK444">
        <v>0</v>
      </c>
      <c r="BL444">
        <v>0</v>
      </c>
      <c r="BM444">
        <v>0</v>
      </c>
      <c r="BN444">
        <v>0</v>
      </c>
      <c r="BO444">
        <v>0</v>
      </c>
      <c r="BP444">
        <v>0</v>
      </c>
      <c r="BQ444">
        <v>0</v>
      </c>
      <c r="BR444">
        <v>0</v>
      </c>
      <c r="BS444">
        <v>0</v>
      </c>
      <c r="BT444">
        <v>0</v>
      </c>
      <c r="BU444">
        <v>0</v>
      </c>
      <c r="BV444">
        <v>0</v>
      </c>
      <c r="BW444">
        <v>0</v>
      </c>
      <c r="BX444">
        <v>0</v>
      </c>
      <c r="BY444">
        <v>0</v>
      </c>
      <c r="BZ444">
        <v>0</v>
      </c>
      <c r="CA444">
        <v>0</v>
      </c>
      <c r="CB444">
        <v>0</v>
      </c>
    </row>
    <row r="445" spans="1:80" x14ac:dyDescent="0.2">
      <c r="A445">
        <v>0</v>
      </c>
      <c r="B445">
        <v>0</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c r="X445">
        <v>0</v>
      </c>
      <c r="Y445">
        <v>0</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0</v>
      </c>
      <c r="BT445">
        <v>0</v>
      </c>
      <c r="BU445">
        <v>0</v>
      </c>
      <c r="BV445">
        <v>0</v>
      </c>
      <c r="BW445">
        <v>0</v>
      </c>
      <c r="BX445">
        <v>0</v>
      </c>
      <c r="BY445">
        <v>0</v>
      </c>
      <c r="BZ445">
        <v>0</v>
      </c>
      <c r="CA445">
        <v>0</v>
      </c>
      <c r="CB445">
        <v>0</v>
      </c>
    </row>
    <row r="446" spans="1:80" x14ac:dyDescent="0.2">
      <c r="A446">
        <v>0</v>
      </c>
      <c r="B446">
        <v>0</v>
      </c>
      <c r="C446">
        <v>0</v>
      </c>
      <c r="D446">
        <v>0</v>
      </c>
      <c r="E446">
        <v>0</v>
      </c>
      <c r="F446">
        <v>0</v>
      </c>
      <c r="G446">
        <v>0</v>
      </c>
      <c r="H446">
        <v>0</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0</v>
      </c>
      <c r="BU446">
        <v>0</v>
      </c>
      <c r="BV446">
        <v>0</v>
      </c>
      <c r="BW446">
        <v>0</v>
      </c>
      <c r="BX446">
        <v>0</v>
      </c>
      <c r="BY446">
        <v>0</v>
      </c>
      <c r="BZ446">
        <v>0</v>
      </c>
      <c r="CA446">
        <v>0</v>
      </c>
      <c r="CB446">
        <v>0</v>
      </c>
    </row>
    <row r="447" spans="1:80" x14ac:dyDescent="0.2">
      <c r="A447">
        <v>0</v>
      </c>
      <c r="B447">
        <v>0</v>
      </c>
      <c r="C447">
        <v>0</v>
      </c>
      <c r="D447">
        <v>0</v>
      </c>
      <c r="E447">
        <v>0</v>
      </c>
      <c r="F447">
        <v>0</v>
      </c>
      <c r="G447">
        <v>0</v>
      </c>
      <c r="H447">
        <v>0</v>
      </c>
      <c r="I447">
        <v>0</v>
      </c>
      <c r="J447">
        <v>0</v>
      </c>
      <c r="K447">
        <v>0</v>
      </c>
      <c r="L447">
        <v>0</v>
      </c>
      <c r="M447">
        <v>0</v>
      </c>
      <c r="N447">
        <v>0</v>
      </c>
      <c r="O447">
        <v>0</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v>0</v>
      </c>
      <c r="AW447">
        <v>0</v>
      </c>
      <c r="AX447">
        <v>0</v>
      </c>
      <c r="AY447">
        <v>0</v>
      </c>
      <c r="AZ447">
        <v>0</v>
      </c>
      <c r="BA447">
        <v>0</v>
      </c>
      <c r="BB447">
        <v>0</v>
      </c>
      <c r="BC447">
        <v>0</v>
      </c>
      <c r="BD447">
        <v>0</v>
      </c>
      <c r="BE447">
        <v>0</v>
      </c>
      <c r="BF447">
        <v>0</v>
      </c>
      <c r="BG447">
        <v>0</v>
      </c>
      <c r="BH447">
        <v>0</v>
      </c>
      <c r="BI447">
        <v>0</v>
      </c>
      <c r="BJ447">
        <v>0</v>
      </c>
      <c r="BK447">
        <v>0</v>
      </c>
      <c r="BL447">
        <v>0</v>
      </c>
      <c r="BM447">
        <v>0</v>
      </c>
      <c r="BN447">
        <v>0</v>
      </c>
      <c r="BO447">
        <v>0</v>
      </c>
      <c r="BP447">
        <v>0</v>
      </c>
      <c r="BQ447">
        <v>0</v>
      </c>
      <c r="BR447">
        <v>0</v>
      </c>
      <c r="BS447">
        <v>0</v>
      </c>
      <c r="BT447">
        <v>0</v>
      </c>
      <c r="BU447">
        <v>0</v>
      </c>
      <c r="BV447">
        <v>0</v>
      </c>
      <c r="BW447">
        <v>0</v>
      </c>
      <c r="BX447">
        <v>0</v>
      </c>
      <c r="BY447">
        <v>0</v>
      </c>
      <c r="BZ447">
        <v>0</v>
      </c>
      <c r="CA447">
        <v>0</v>
      </c>
      <c r="CB447">
        <v>0</v>
      </c>
    </row>
    <row r="448" spans="1:80" x14ac:dyDescent="0.2">
      <c r="A448">
        <v>0</v>
      </c>
      <c r="B448">
        <v>0</v>
      </c>
      <c r="C448">
        <v>0</v>
      </c>
      <c r="D448">
        <v>0</v>
      </c>
      <c r="E448">
        <v>0</v>
      </c>
      <c r="F448">
        <v>0</v>
      </c>
      <c r="G448">
        <v>0</v>
      </c>
      <c r="H448">
        <v>0</v>
      </c>
      <c r="I448">
        <v>0</v>
      </c>
      <c r="J448">
        <v>0</v>
      </c>
      <c r="K448">
        <v>0</v>
      </c>
      <c r="L448">
        <v>0</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0</v>
      </c>
      <c r="BU448">
        <v>0</v>
      </c>
      <c r="BV448">
        <v>0</v>
      </c>
      <c r="BW448">
        <v>0</v>
      </c>
      <c r="BX448">
        <v>0</v>
      </c>
      <c r="BY448">
        <v>0</v>
      </c>
      <c r="BZ448">
        <v>0</v>
      </c>
      <c r="CA448">
        <v>0</v>
      </c>
      <c r="CB448">
        <v>0</v>
      </c>
    </row>
    <row r="449" spans="1:80" x14ac:dyDescent="0.2">
      <c r="A449">
        <v>0</v>
      </c>
      <c r="B449">
        <v>0</v>
      </c>
      <c r="C449">
        <v>0</v>
      </c>
      <c r="D449">
        <v>0</v>
      </c>
      <c r="E449">
        <v>0</v>
      </c>
      <c r="F449">
        <v>0</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v>0</v>
      </c>
      <c r="BI449">
        <v>0</v>
      </c>
      <c r="BJ449">
        <v>0</v>
      </c>
      <c r="BK449">
        <v>0</v>
      </c>
      <c r="BL449">
        <v>0</v>
      </c>
      <c r="BM449">
        <v>0</v>
      </c>
      <c r="BN449">
        <v>0</v>
      </c>
      <c r="BO449">
        <v>0</v>
      </c>
      <c r="BP449">
        <v>0</v>
      </c>
      <c r="BQ449">
        <v>0</v>
      </c>
      <c r="BR449">
        <v>0</v>
      </c>
      <c r="BS449">
        <v>0</v>
      </c>
      <c r="BT449">
        <v>0</v>
      </c>
      <c r="BU449">
        <v>0</v>
      </c>
      <c r="BV449">
        <v>0</v>
      </c>
      <c r="BW449">
        <v>0</v>
      </c>
      <c r="BX449">
        <v>0</v>
      </c>
      <c r="BY449">
        <v>0</v>
      </c>
      <c r="BZ449">
        <v>0</v>
      </c>
      <c r="CA449">
        <v>0</v>
      </c>
      <c r="CB449">
        <v>0</v>
      </c>
    </row>
    <row r="450" spans="1:80" x14ac:dyDescent="0.2">
      <c r="A450">
        <v>0</v>
      </c>
      <c r="B450">
        <v>0</v>
      </c>
      <c r="C450">
        <v>0</v>
      </c>
      <c r="D450">
        <v>0</v>
      </c>
      <c r="E450">
        <v>0</v>
      </c>
      <c r="F450">
        <v>0</v>
      </c>
      <c r="G450">
        <v>0</v>
      </c>
      <c r="H450">
        <v>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v>0</v>
      </c>
      <c r="BI450">
        <v>0</v>
      </c>
      <c r="BJ450">
        <v>0</v>
      </c>
      <c r="BK450">
        <v>0</v>
      </c>
      <c r="BL450">
        <v>0</v>
      </c>
      <c r="BM450">
        <v>0</v>
      </c>
      <c r="BN450">
        <v>0</v>
      </c>
      <c r="BO450">
        <v>0</v>
      </c>
      <c r="BP450">
        <v>0</v>
      </c>
      <c r="BQ450">
        <v>0</v>
      </c>
      <c r="BR450">
        <v>0</v>
      </c>
      <c r="BS450">
        <v>0</v>
      </c>
      <c r="BT450">
        <v>0</v>
      </c>
      <c r="BU450">
        <v>0</v>
      </c>
      <c r="BV450">
        <v>0</v>
      </c>
      <c r="BW450">
        <v>0</v>
      </c>
      <c r="BX450">
        <v>0</v>
      </c>
      <c r="BY450">
        <v>0</v>
      </c>
      <c r="BZ450">
        <v>0</v>
      </c>
      <c r="CA450">
        <v>0</v>
      </c>
      <c r="CB450">
        <v>0</v>
      </c>
    </row>
    <row r="451" spans="1:80" x14ac:dyDescent="0.2">
      <c r="A451">
        <v>0</v>
      </c>
      <c r="B451">
        <v>0</v>
      </c>
      <c r="C451">
        <v>0</v>
      </c>
      <c r="D451">
        <v>0</v>
      </c>
      <c r="E451">
        <v>0</v>
      </c>
      <c r="F451">
        <v>0</v>
      </c>
      <c r="G451">
        <v>0</v>
      </c>
      <c r="H451">
        <v>0</v>
      </c>
      <c r="I451">
        <v>0</v>
      </c>
      <c r="J451">
        <v>0</v>
      </c>
      <c r="K451">
        <v>0</v>
      </c>
      <c r="L451">
        <v>0</v>
      </c>
      <c r="M451">
        <v>0</v>
      </c>
      <c r="N451">
        <v>0</v>
      </c>
      <c r="O451">
        <v>0</v>
      </c>
      <c r="P451">
        <v>0</v>
      </c>
      <c r="Q451">
        <v>0</v>
      </c>
      <c r="R451">
        <v>0</v>
      </c>
      <c r="S451">
        <v>0</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0</v>
      </c>
      <c r="BQ451">
        <v>0</v>
      </c>
      <c r="BR451">
        <v>0</v>
      </c>
      <c r="BS451">
        <v>0</v>
      </c>
      <c r="BT451">
        <v>0</v>
      </c>
      <c r="BU451">
        <v>0</v>
      </c>
      <c r="BV451">
        <v>0</v>
      </c>
      <c r="BW451">
        <v>0</v>
      </c>
      <c r="BX451">
        <v>0</v>
      </c>
      <c r="BY451">
        <v>0</v>
      </c>
      <c r="BZ451">
        <v>0</v>
      </c>
      <c r="CA451">
        <v>0</v>
      </c>
      <c r="CB451">
        <v>0</v>
      </c>
    </row>
    <row r="452" spans="1:80" x14ac:dyDescent="0.2">
      <c r="A452">
        <v>0</v>
      </c>
      <c r="B452">
        <v>0</v>
      </c>
      <c r="C452">
        <v>0</v>
      </c>
      <c r="D452">
        <v>0</v>
      </c>
      <c r="E452">
        <v>0</v>
      </c>
      <c r="F452">
        <v>0</v>
      </c>
      <c r="G452">
        <v>0</v>
      </c>
      <c r="H452">
        <v>0</v>
      </c>
      <c r="I452">
        <v>0</v>
      </c>
      <c r="J452">
        <v>0</v>
      </c>
      <c r="K452">
        <v>0</v>
      </c>
      <c r="L452">
        <v>0</v>
      </c>
      <c r="M452">
        <v>0</v>
      </c>
      <c r="N452">
        <v>0</v>
      </c>
      <c r="O452">
        <v>0</v>
      </c>
      <c r="P452">
        <v>0</v>
      </c>
      <c r="Q452">
        <v>0</v>
      </c>
      <c r="R452">
        <v>0</v>
      </c>
      <c r="S452">
        <v>0</v>
      </c>
      <c r="T452">
        <v>0</v>
      </c>
      <c r="U452">
        <v>0</v>
      </c>
      <c r="V452">
        <v>0</v>
      </c>
      <c r="W452">
        <v>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v>0</v>
      </c>
      <c r="BI452">
        <v>0</v>
      </c>
      <c r="BJ452">
        <v>0</v>
      </c>
      <c r="BK452">
        <v>0</v>
      </c>
      <c r="BL452">
        <v>0</v>
      </c>
      <c r="BM452">
        <v>0</v>
      </c>
      <c r="BN452">
        <v>0</v>
      </c>
      <c r="BO452">
        <v>0</v>
      </c>
      <c r="BP452">
        <v>0</v>
      </c>
      <c r="BQ452">
        <v>0</v>
      </c>
      <c r="BR452">
        <v>0</v>
      </c>
      <c r="BS452">
        <v>0</v>
      </c>
      <c r="BT452">
        <v>0</v>
      </c>
      <c r="BU452">
        <v>0</v>
      </c>
      <c r="BV452">
        <v>0</v>
      </c>
      <c r="BW452">
        <v>0</v>
      </c>
      <c r="BX452">
        <v>0</v>
      </c>
      <c r="BY452">
        <v>0</v>
      </c>
      <c r="BZ452">
        <v>0</v>
      </c>
      <c r="CA452">
        <v>0</v>
      </c>
      <c r="CB452">
        <v>0</v>
      </c>
    </row>
    <row r="453" spans="1:80" x14ac:dyDescent="0.2">
      <c r="A453">
        <v>0</v>
      </c>
      <c r="B453">
        <v>0</v>
      </c>
      <c r="C453">
        <v>0</v>
      </c>
      <c r="D453">
        <v>0</v>
      </c>
      <c r="E453">
        <v>0</v>
      </c>
      <c r="F453">
        <v>0</v>
      </c>
      <c r="G453">
        <v>0</v>
      </c>
      <c r="H453">
        <v>0</v>
      </c>
      <c r="I453">
        <v>0</v>
      </c>
      <c r="J453">
        <v>0</v>
      </c>
      <c r="K453">
        <v>0</v>
      </c>
      <c r="L453">
        <v>0</v>
      </c>
      <c r="M453">
        <v>0</v>
      </c>
      <c r="N453">
        <v>0</v>
      </c>
      <c r="O453">
        <v>0</v>
      </c>
      <c r="P453">
        <v>0</v>
      </c>
      <c r="Q453">
        <v>0</v>
      </c>
      <c r="R453">
        <v>0</v>
      </c>
      <c r="S453">
        <v>0</v>
      </c>
      <c r="T453">
        <v>0</v>
      </c>
      <c r="U453">
        <v>0</v>
      </c>
      <c r="V453">
        <v>0</v>
      </c>
      <c r="W453">
        <v>0</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v>0</v>
      </c>
      <c r="BI453">
        <v>0</v>
      </c>
      <c r="BJ453">
        <v>0</v>
      </c>
      <c r="BK453">
        <v>0</v>
      </c>
      <c r="BL453">
        <v>0</v>
      </c>
      <c r="BM453">
        <v>0</v>
      </c>
      <c r="BN453">
        <v>0</v>
      </c>
      <c r="BO453">
        <v>0</v>
      </c>
      <c r="BP453">
        <v>0</v>
      </c>
      <c r="BQ453">
        <v>0</v>
      </c>
      <c r="BR453">
        <v>0</v>
      </c>
      <c r="BS453">
        <v>0</v>
      </c>
      <c r="BT453">
        <v>0</v>
      </c>
      <c r="BU453">
        <v>0</v>
      </c>
      <c r="BV453">
        <v>0</v>
      </c>
      <c r="BW453">
        <v>0</v>
      </c>
      <c r="BX453">
        <v>0</v>
      </c>
      <c r="BY453">
        <v>0</v>
      </c>
      <c r="BZ453">
        <v>0</v>
      </c>
      <c r="CA453">
        <v>0</v>
      </c>
      <c r="CB453">
        <v>0</v>
      </c>
    </row>
    <row r="454" spans="1:80" x14ac:dyDescent="0.2">
      <c r="A454">
        <v>0</v>
      </c>
      <c r="B454">
        <v>0</v>
      </c>
      <c r="C454">
        <v>0</v>
      </c>
      <c r="D454">
        <v>0</v>
      </c>
      <c r="E454">
        <v>0</v>
      </c>
      <c r="F454">
        <v>0</v>
      </c>
      <c r="G454">
        <v>0</v>
      </c>
      <c r="H454">
        <v>0</v>
      </c>
      <c r="I454">
        <v>0</v>
      </c>
      <c r="J454">
        <v>0</v>
      </c>
      <c r="K454">
        <v>0</v>
      </c>
      <c r="L454">
        <v>0</v>
      </c>
      <c r="M454">
        <v>0</v>
      </c>
      <c r="N454">
        <v>0</v>
      </c>
      <c r="O454">
        <v>0</v>
      </c>
      <c r="P454">
        <v>0</v>
      </c>
      <c r="Q454">
        <v>0</v>
      </c>
      <c r="R454">
        <v>0</v>
      </c>
      <c r="S454">
        <v>0</v>
      </c>
      <c r="T454">
        <v>0</v>
      </c>
      <c r="U454">
        <v>0</v>
      </c>
      <c r="V454">
        <v>0</v>
      </c>
      <c r="W454">
        <v>0</v>
      </c>
      <c r="X454">
        <v>0</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0</v>
      </c>
      <c r="BC454">
        <v>0</v>
      </c>
      <c r="BD454">
        <v>0</v>
      </c>
      <c r="BE454">
        <v>0</v>
      </c>
      <c r="BF454">
        <v>0</v>
      </c>
      <c r="BG454">
        <v>0</v>
      </c>
      <c r="BH454">
        <v>0</v>
      </c>
      <c r="BI454">
        <v>0</v>
      </c>
      <c r="BJ454">
        <v>0</v>
      </c>
      <c r="BK454">
        <v>0</v>
      </c>
      <c r="BL454">
        <v>0</v>
      </c>
      <c r="BM454">
        <v>0</v>
      </c>
      <c r="BN454">
        <v>0</v>
      </c>
      <c r="BO454">
        <v>0</v>
      </c>
      <c r="BP454">
        <v>0</v>
      </c>
      <c r="BQ454">
        <v>0</v>
      </c>
      <c r="BR454">
        <v>0</v>
      </c>
      <c r="BS454">
        <v>0</v>
      </c>
      <c r="BT454">
        <v>0</v>
      </c>
      <c r="BU454">
        <v>0</v>
      </c>
      <c r="BV454">
        <v>0</v>
      </c>
      <c r="BW454">
        <v>0</v>
      </c>
      <c r="BX454">
        <v>0</v>
      </c>
      <c r="BY454">
        <v>0</v>
      </c>
      <c r="BZ454">
        <v>0</v>
      </c>
      <c r="CA454">
        <v>0</v>
      </c>
      <c r="CB454">
        <v>0</v>
      </c>
    </row>
    <row r="455" spans="1:80" x14ac:dyDescent="0.2">
      <c r="A455">
        <v>0</v>
      </c>
      <c r="B455">
        <v>0</v>
      </c>
      <c r="C455">
        <v>0</v>
      </c>
      <c r="D455">
        <v>0</v>
      </c>
      <c r="E455">
        <v>0</v>
      </c>
      <c r="F455">
        <v>0</v>
      </c>
      <c r="G455">
        <v>0</v>
      </c>
      <c r="H455">
        <v>0</v>
      </c>
      <c r="I455">
        <v>0</v>
      </c>
      <c r="J455">
        <v>0</v>
      </c>
      <c r="K455">
        <v>0</v>
      </c>
      <c r="L455">
        <v>0</v>
      </c>
      <c r="M455">
        <v>0</v>
      </c>
      <c r="N455">
        <v>0</v>
      </c>
      <c r="O455">
        <v>0</v>
      </c>
      <c r="P455">
        <v>0</v>
      </c>
      <c r="Q455">
        <v>0</v>
      </c>
      <c r="R455">
        <v>0</v>
      </c>
      <c r="S455">
        <v>0</v>
      </c>
      <c r="T455">
        <v>0</v>
      </c>
      <c r="U455">
        <v>0</v>
      </c>
      <c r="V455">
        <v>0</v>
      </c>
      <c r="W455">
        <v>0</v>
      </c>
      <c r="X455">
        <v>0</v>
      </c>
      <c r="Y455">
        <v>0</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c r="AV455">
        <v>0</v>
      </c>
      <c r="AW455">
        <v>0</v>
      </c>
      <c r="AX455">
        <v>0</v>
      </c>
      <c r="AY455">
        <v>0</v>
      </c>
      <c r="AZ455">
        <v>0</v>
      </c>
      <c r="BA455">
        <v>0</v>
      </c>
      <c r="BB455">
        <v>0</v>
      </c>
      <c r="BC455">
        <v>0</v>
      </c>
      <c r="BD455">
        <v>0</v>
      </c>
      <c r="BE455">
        <v>0</v>
      </c>
      <c r="BF455">
        <v>0</v>
      </c>
      <c r="BG455">
        <v>0</v>
      </c>
      <c r="BH455">
        <v>0</v>
      </c>
      <c r="BI455">
        <v>0</v>
      </c>
      <c r="BJ455">
        <v>0</v>
      </c>
      <c r="BK455">
        <v>0</v>
      </c>
      <c r="BL455">
        <v>0</v>
      </c>
      <c r="BM455">
        <v>0</v>
      </c>
      <c r="BN455">
        <v>0</v>
      </c>
      <c r="BO455">
        <v>0</v>
      </c>
      <c r="BP455">
        <v>0</v>
      </c>
      <c r="BQ455">
        <v>0</v>
      </c>
      <c r="BR455">
        <v>0</v>
      </c>
      <c r="BS455">
        <v>0</v>
      </c>
      <c r="BT455">
        <v>0</v>
      </c>
      <c r="BU455">
        <v>0</v>
      </c>
      <c r="BV455">
        <v>0</v>
      </c>
      <c r="BW455">
        <v>0</v>
      </c>
      <c r="BX455">
        <v>0</v>
      </c>
      <c r="BY455">
        <v>0</v>
      </c>
      <c r="BZ455">
        <v>0</v>
      </c>
      <c r="CA455">
        <v>0</v>
      </c>
      <c r="CB455">
        <v>0</v>
      </c>
    </row>
    <row r="456" spans="1:80" x14ac:dyDescent="0.2">
      <c r="A456">
        <v>0</v>
      </c>
      <c r="B456">
        <v>0</v>
      </c>
      <c r="C456">
        <v>0</v>
      </c>
      <c r="D456">
        <v>0</v>
      </c>
      <c r="E456">
        <v>0</v>
      </c>
      <c r="F456">
        <v>0</v>
      </c>
      <c r="G456">
        <v>0</v>
      </c>
      <c r="H456">
        <v>0</v>
      </c>
      <c r="I456">
        <v>0</v>
      </c>
      <c r="J456">
        <v>0</v>
      </c>
      <c r="K456">
        <v>0</v>
      </c>
      <c r="L456">
        <v>0</v>
      </c>
      <c r="M456">
        <v>0</v>
      </c>
      <c r="N456">
        <v>0</v>
      </c>
      <c r="O456">
        <v>0</v>
      </c>
      <c r="P456">
        <v>0</v>
      </c>
      <c r="Q456">
        <v>0</v>
      </c>
      <c r="R456">
        <v>0</v>
      </c>
      <c r="S456">
        <v>0</v>
      </c>
      <c r="T456">
        <v>0</v>
      </c>
      <c r="U456">
        <v>0</v>
      </c>
      <c r="V456">
        <v>0</v>
      </c>
      <c r="W456">
        <v>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0</v>
      </c>
      <c r="BU456">
        <v>0</v>
      </c>
      <c r="BV456">
        <v>0</v>
      </c>
      <c r="BW456">
        <v>0</v>
      </c>
      <c r="BX456">
        <v>0</v>
      </c>
      <c r="BY456">
        <v>0</v>
      </c>
      <c r="BZ456">
        <v>0</v>
      </c>
      <c r="CA456">
        <v>0</v>
      </c>
      <c r="CB456">
        <v>0</v>
      </c>
    </row>
    <row r="457" spans="1:80" x14ac:dyDescent="0.2">
      <c r="A457">
        <v>0</v>
      </c>
      <c r="B457">
        <v>0</v>
      </c>
      <c r="C457">
        <v>0</v>
      </c>
      <c r="D457">
        <v>0</v>
      </c>
      <c r="E457">
        <v>0</v>
      </c>
      <c r="F457">
        <v>0</v>
      </c>
      <c r="G457">
        <v>0</v>
      </c>
      <c r="H457">
        <v>0</v>
      </c>
      <c r="I457">
        <v>0</v>
      </c>
      <c r="J457">
        <v>0</v>
      </c>
      <c r="K457">
        <v>0</v>
      </c>
      <c r="L457">
        <v>0</v>
      </c>
      <c r="M457">
        <v>0</v>
      </c>
      <c r="N457">
        <v>0</v>
      </c>
      <c r="O457">
        <v>0</v>
      </c>
      <c r="P457">
        <v>0</v>
      </c>
      <c r="Q457">
        <v>0</v>
      </c>
      <c r="R457">
        <v>0</v>
      </c>
      <c r="S457">
        <v>0</v>
      </c>
      <c r="T457">
        <v>0</v>
      </c>
      <c r="U457">
        <v>0</v>
      </c>
      <c r="V457">
        <v>0</v>
      </c>
      <c r="W457">
        <v>0</v>
      </c>
      <c r="X457">
        <v>0</v>
      </c>
      <c r="Y457">
        <v>0</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v>0</v>
      </c>
      <c r="AS457">
        <v>0</v>
      </c>
      <c r="AT457">
        <v>0</v>
      </c>
      <c r="AU457">
        <v>0</v>
      </c>
      <c r="AV457">
        <v>0</v>
      </c>
      <c r="AW457">
        <v>0</v>
      </c>
      <c r="AX457">
        <v>0</v>
      </c>
      <c r="AY457">
        <v>0</v>
      </c>
      <c r="AZ457">
        <v>0</v>
      </c>
      <c r="BA457">
        <v>0</v>
      </c>
      <c r="BB457">
        <v>0</v>
      </c>
      <c r="BC457">
        <v>0</v>
      </c>
      <c r="BD457">
        <v>0</v>
      </c>
      <c r="BE457">
        <v>0</v>
      </c>
      <c r="BF457">
        <v>0</v>
      </c>
      <c r="BG457">
        <v>0</v>
      </c>
      <c r="BH457">
        <v>0</v>
      </c>
      <c r="BI457">
        <v>0</v>
      </c>
      <c r="BJ457">
        <v>0</v>
      </c>
      <c r="BK457">
        <v>0</v>
      </c>
      <c r="BL457">
        <v>0</v>
      </c>
      <c r="BM457">
        <v>0</v>
      </c>
      <c r="BN457">
        <v>0</v>
      </c>
      <c r="BO457">
        <v>0</v>
      </c>
      <c r="BP457">
        <v>0</v>
      </c>
      <c r="BQ457">
        <v>0</v>
      </c>
      <c r="BR457">
        <v>0</v>
      </c>
      <c r="BS457">
        <v>0</v>
      </c>
      <c r="BT457">
        <v>0</v>
      </c>
      <c r="BU457">
        <v>0</v>
      </c>
      <c r="BV457">
        <v>0</v>
      </c>
      <c r="BW457">
        <v>0</v>
      </c>
      <c r="BX457">
        <v>0</v>
      </c>
      <c r="BY457">
        <v>0</v>
      </c>
      <c r="BZ457">
        <v>0</v>
      </c>
      <c r="CA457">
        <v>0</v>
      </c>
      <c r="CB457">
        <v>0</v>
      </c>
    </row>
    <row r="458" spans="1:80" x14ac:dyDescent="0.2">
      <c r="A458">
        <v>0</v>
      </c>
      <c r="B458">
        <v>0</v>
      </c>
      <c r="C458">
        <v>0</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c r="AY458">
        <v>0</v>
      </c>
      <c r="AZ458">
        <v>0</v>
      </c>
      <c r="BA458">
        <v>0</v>
      </c>
      <c r="BB458">
        <v>0</v>
      </c>
      <c r="BC458">
        <v>0</v>
      </c>
      <c r="BD458">
        <v>0</v>
      </c>
      <c r="BE458">
        <v>0</v>
      </c>
      <c r="BF458">
        <v>0</v>
      </c>
      <c r="BG458">
        <v>0</v>
      </c>
      <c r="BH458">
        <v>0</v>
      </c>
      <c r="BI458">
        <v>0</v>
      </c>
      <c r="BJ458">
        <v>0</v>
      </c>
      <c r="BK458">
        <v>0</v>
      </c>
      <c r="BL458">
        <v>0</v>
      </c>
      <c r="BM458">
        <v>0</v>
      </c>
      <c r="BN458">
        <v>0</v>
      </c>
      <c r="BO458">
        <v>0</v>
      </c>
      <c r="BP458">
        <v>0</v>
      </c>
      <c r="BQ458">
        <v>0</v>
      </c>
      <c r="BR458">
        <v>0</v>
      </c>
      <c r="BS458">
        <v>0</v>
      </c>
      <c r="BT458">
        <v>0</v>
      </c>
      <c r="BU458">
        <v>0</v>
      </c>
      <c r="BV458">
        <v>0</v>
      </c>
      <c r="BW458">
        <v>0</v>
      </c>
      <c r="BX458">
        <v>0</v>
      </c>
      <c r="BY458">
        <v>0</v>
      </c>
      <c r="BZ458">
        <v>0</v>
      </c>
      <c r="CA458">
        <v>0</v>
      </c>
      <c r="CB458">
        <v>0</v>
      </c>
    </row>
    <row r="459" spans="1:80" x14ac:dyDescent="0.2">
      <c r="A459">
        <v>0</v>
      </c>
      <c r="B459">
        <v>0</v>
      </c>
      <c r="C459">
        <v>0</v>
      </c>
      <c r="D459">
        <v>0</v>
      </c>
      <c r="E459">
        <v>0</v>
      </c>
      <c r="F459">
        <v>0</v>
      </c>
      <c r="G459">
        <v>0</v>
      </c>
      <c r="H459">
        <v>0</v>
      </c>
      <c r="I459">
        <v>0</v>
      </c>
      <c r="J459">
        <v>0</v>
      </c>
      <c r="K459">
        <v>0</v>
      </c>
      <c r="L459">
        <v>0</v>
      </c>
      <c r="M459">
        <v>0</v>
      </c>
      <c r="N459">
        <v>0</v>
      </c>
      <c r="O459">
        <v>0</v>
      </c>
      <c r="P459">
        <v>0</v>
      </c>
      <c r="Q459">
        <v>0</v>
      </c>
      <c r="R459">
        <v>0</v>
      </c>
      <c r="S459">
        <v>0</v>
      </c>
      <c r="T459">
        <v>0</v>
      </c>
      <c r="U459">
        <v>0</v>
      </c>
      <c r="V459">
        <v>0</v>
      </c>
      <c r="W459">
        <v>0</v>
      </c>
      <c r="X459">
        <v>0</v>
      </c>
      <c r="Y459">
        <v>0</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v>
      </c>
      <c r="AT459">
        <v>0</v>
      </c>
      <c r="AU459">
        <v>0</v>
      </c>
      <c r="AV459">
        <v>0</v>
      </c>
      <c r="AW459">
        <v>0</v>
      </c>
      <c r="AX459">
        <v>0</v>
      </c>
      <c r="AY459">
        <v>0</v>
      </c>
      <c r="AZ459">
        <v>0</v>
      </c>
      <c r="BA459">
        <v>0</v>
      </c>
      <c r="BB459">
        <v>0</v>
      </c>
      <c r="BC459">
        <v>0</v>
      </c>
      <c r="BD459">
        <v>0</v>
      </c>
      <c r="BE459">
        <v>0</v>
      </c>
      <c r="BF459">
        <v>0</v>
      </c>
      <c r="BG459">
        <v>0</v>
      </c>
      <c r="BH459">
        <v>0</v>
      </c>
      <c r="BI459">
        <v>0</v>
      </c>
      <c r="BJ459">
        <v>0</v>
      </c>
      <c r="BK459">
        <v>0</v>
      </c>
      <c r="BL459">
        <v>0</v>
      </c>
      <c r="BM459">
        <v>0</v>
      </c>
      <c r="BN459">
        <v>0</v>
      </c>
      <c r="BO459">
        <v>0</v>
      </c>
      <c r="BP459">
        <v>0</v>
      </c>
      <c r="BQ459">
        <v>0</v>
      </c>
      <c r="BR459">
        <v>0</v>
      </c>
      <c r="BS459">
        <v>0</v>
      </c>
      <c r="BT459">
        <v>0</v>
      </c>
      <c r="BU459">
        <v>0</v>
      </c>
      <c r="BV459">
        <v>0</v>
      </c>
      <c r="BW459">
        <v>0</v>
      </c>
      <c r="BX459">
        <v>0</v>
      </c>
      <c r="BY459">
        <v>0</v>
      </c>
      <c r="BZ459">
        <v>0</v>
      </c>
      <c r="CA459">
        <v>0</v>
      </c>
      <c r="CB459">
        <v>0</v>
      </c>
    </row>
    <row r="460" spans="1:80" x14ac:dyDescent="0.2">
      <c r="A460">
        <v>0</v>
      </c>
      <c r="B460">
        <v>0</v>
      </c>
      <c r="C460">
        <v>0</v>
      </c>
      <c r="D460">
        <v>0</v>
      </c>
      <c r="E460">
        <v>0</v>
      </c>
      <c r="F460">
        <v>0</v>
      </c>
      <c r="G460">
        <v>0</v>
      </c>
      <c r="H460">
        <v>0</v>
      </c>
      <c r="I460">
        <v>0</v>
      </c>
      <c r="J460">
        <v>0</v>
      </c>
      <c r="K460">
        <v>0</v>
      </c>
      <c r="L460">
        <v>0</v>
      </c>
      <c r="M460">
        <v>0</v>
      </c>
      <c r="N460">
        <v>0</v>
      </c>
      <c r="O460">
        <v>0</v>
      </c>
      <c r="P460">
        <v>0</v>
      </c>
      <c r="Q460">
        <v>0</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0</v>
      </c>
      <c r="BT460">
        <v>0</v>
      </c>
      <c r="BU460">
        <v>0</v>
      </c>
      <c r="BV460">
        <v>0</v>
      </c>
      <c r="BW460">
        <v>0</v>
      </c>
      <c r="BX460">
        <v>0</v>
      </c>
      <c r="BY460">
        <v>0</v>
      </c>
      <c r="BZ460">
        <v>0</v>
      </c>
      <c r="CA460">
        <v>0</v>
      </c>
      <c r="CB460">
        <v>0</v>
      </c>
    </row>
    <row r="461" spans="1:80" x14ac:dyDescent="0.2">
      <c r="A461">
        <v>0</v>
      </c>
      <c r="B461">
        <v>0</v>
      </c>
      <c r="C461">
        <v>0</v>
      </c>
      <c r="D461">
        <v>0</v>
      </c>
      <c r="E461">
        <v>0</v>
      </c>
      <c r="F461">
        <v>0</v>
      </c>
      <c r="G461">
        <v>0</v>
      </c>
      <c r="H461">
        <v>0</v>
      </c>
      <c r="I461">
        <v>0</v>
      </c>
      <c r="J461">
        <v>0</v>
      </c>
      <c r="K461">
        <v>0</v>
      </c>
      <c r="L461">
        <v>0</v>
      </c>
      <c r="M461">
        <v>0</v>
      </c>
      <c r="N461">
        <v>0</v>
      </c>
      <c r="O461">
        <v>0</v>
      </c>
      <c r="P461">
        <v>0</v>
      </c>
      <c r="Q461">
        <v>0</v>
      </c>
      <c r="R461">
        <v>0</v>
      </c>
      <c r="S461">
        <v>0</v>
      </c>
      <c r="T461">
        <v>0</v>
      </c>
      <c r="U461">
        <v>0</v>
      </c>
      <c r="V461">
        <v>0</v>
      </c>
      <c r="W461">
        <v>0</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J461">
        <v>0</v>
      </c>
      <c r="BK461">
        <v>0</v>
      </c>
      <c r="BL461">
        <v>0</v>
      </c>
      <c r="BM461">
        <v>0</v>
      </c>
      <c r="BN461">
        <v>0</v>
      </c>
      <c r="BO461">
        <v>0</v>
      </c>
      <c r="BP461">
        <v>0</v>
      </c>
      <c r="BQ461">
        <v>0</v>
      </c>
      <c r="BR461">
        <v>0</v>
      </c>
      <c r="BS461">
        <v>0</v>
      </c>
      <c r="BT461">
        <v>0</v>
      </c>
      <c r="BU461">
        <v>0</v>
      </c>
      <c r="BV461">
        <v>0</v>
      </c>
      <c r="BW461">
        <v>0</v>
      </c>
      <c r="BX461">
        <v>0</v>
      </c>
      <c r="BY461">
        <v>0</v>
      </c>
      <c r="BZ461">
        <v>0</v>
      </c>
      <c r="CA461">
        <v>0</v>
      </c>
      <c r="CB461">
        <v>0</v>
      </c>
    </row>
    <row r="462" spans="1:80" x14ac:dyDescent="0.2">
      <c r="A462">
        <v>0</v>
      </c>
      <c r="B462">
        <v>0</v>
      </c>
      <c r="C462">
        <v>0</v>
      </c>
      <c r="D462">
        <v>0</v>
      </c>
      <c r="E462">
        <v>0</v>
      </c>
      <c r="F462">
        <v>0</v>
      </c>
      <c r="G462">
        <v>0</v>
      </c>
      <c r="H462">
        <v>0</v>
      </c>
      <c r="I462">
        <v>0</v>
      </c>
      <c r="J462">
        <v>0</v>
      </c>
      <c r="K462">
        <v>0</v>
      </c>
      <c r="L462">
        <v>0</v>
      </c>
      <c r="M462">
        <v>0</v>
      </c>
      <c r="N462">
        <v>0</v>
      </c>
      <c r="O462">
        <v>0</v>
      </c>
      <c r="P462">
        <v>0</v>
      </c>
      <c r="Q462">
        <v>0</v>
      </c>
      <c r="R462">
        <v>0</v>
      </c>
      <c r="S462">
        <v>0</v>
      </c>
      <c r="T462">
        <v>0</v>
      </c>
      <c r="U462">
        <v>0</v>
      </c>
      <c r="V462">
        <v>0</v>
      </c>
      <c r="W462">
        <v>0</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J462">
        <v>0</v>
      </c>
      <c r="BK462">
        <v>0</v>
      </c>
      <c r="BL462">
        <v>0</v>
      </c>
      <c r="BM462">
        <v>0</v>
      </c>
      <c r="BN462">
        <v>0</v>
      </c>
      <c r="BO462">
        <v>0</v>
      </c>
      <c r="BP462">
        <v>0</v>
      </c>
      <c r="BQ462">
        <v>0</v>
      </c>
      <c r="BR462">
        <v>0</v>
      </c>
      <c r="BS462">
        <v>0</v>
      </c>
      <c r="BT462">
        <v>0</v>
      </c>
      <c r="BU462">
        <v>0</v>
      </c>
      <c r="BV462">
        <v>0</v>
      </c>
      <c r="BW462">
        <v>0</v>
      </c>
      <c r="BX462">
        <v>0</v>
      </c>
      <c r="BY462">
        <v>0</v>
      </c>
      <c r="BZ462">
        <v>0</v>
      </c>
      <c r="CA462">
        <v>0</v>
      </c>
      <c r="CB462">
        <v>0</v>
      </c>
    </row>
    <row r="463" spans="1:80" x14ac:dyDescent="0.2">
      <c r="A463">
        <v>0</v>
      </c>
      <c r="B463">
        <v>0</v>
      </c>
      <c r="C463">
        <v>0</v>
      </c>
      <c r="D463">
        <v>0</v>
      </c>
      <c r="E463">
        <v>0</v>
      </c>
      <c r="F463">
        <v>0</v>
      </c>
      <c r="G463">
        <v>0</v>
      </c>
      <c r="H463">
        <v>0</v>
      </c>
      <c r="I463">
        <v>0</v>
      </c>
      <c r="J463">
        <v>0</v>
      </c>
      <c r="K463">
        <v>0</v>
      </c>
      <c r="L463">
        <v>0</v>
      </c>
      <c r="M463">
        <v>0</v>
      </c>
      <c r="N463">
        <v>0</v>
      </c>
      <c r="O463">
        <v>0</v>
      </c>
      <c r="P463">
        <v>0</v>
      </c>
      <c r="Q463">
        <v>0</v>
      </c>
      <c r="R463">
        <v>0</v>
      </c>
      <c r="S463">
        <v>0</v>
      </c>
      <c r="T463">
        <v>0</v>
      </c>
      <c r="U463">
        <v>0</v>
      </c>
      <c r="V463">
        <v>0</v>
      </c>
      <c r="W463">
        <v>0</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0</v>
      </c>
      <c r="BU463">
        <v>0</v>
      </c>
      <c r="BV463">
        <v>0</v>
      </c>
      <c r="BW463">
        <v>0</v>
      </c>
      <c r="BX463">
        <v>0</v>
      </c>
      <c r="BY463">
        <v>0</v>
      </c>
      <c r="BZ463">
        <v>0</v>
      </c>
      <c r="CA463">
        <v>0</v>
      </c>
      <c r="CB463">
        <v>0</v>
      </c>
    </row>
    <row r="464" spans="1:80" x14ac:dyDescent="0.2">
      <c r="A464">
        <v>0</v>
      </c>
      <c r="B464">
        <v>0</v>
      </c>
      <c r="C464">
        <v>0</v>
      </c>
      <c r="D464">
        <v>0</v>
      </c>
      <c r="E464">
        <v>0</v>
      </c>
      <c r="F464">
        <v>0</v>
      </c>
      <c r="G464">
        <v>0</v>
      </c>
      <c r="H464">
        <v>0</v>
      </c>
      <c r="I464">
        <v>0</v>
      </c>
      <c r="J464">
        <v>0</v>
      </c>
      <c r="K464">
        <v>0</v>
      </c>
      <c r="L464">
        <v>0</v>
      </c>
      <c r="M464">
        <v>0</v>
      </c>
      <c r="N464">
        <v>0</v>
      </c>
      <c r="O464">
        <v>0</v>
      </c>
      <c r="P464">
        <v>0</v>
      </c>
      <c r="Q464">
        <v>0</v>
      </c>
      <c r="R464">
        <v>0</v>
      </c>
      <c r="S464">
        <v>0</v>
      </c>
      <c r="T464">
        <v>0</v>
      </c>
      <c r="U464">
        <v>0</v>
      </c>
      <c r="V464">
        <v>0</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J464">
        <v>0</v>
      </c>
      <c r="BK464">
        <v>0</v>
      </c>
      <c r="BL464">
        <v>0</v>
      </c>
      <c r="BM464">
        <v>0</v>
      </c>
      <c r="BN464">
        <v>0</v>
      </c>
      <c r="BO464">
        <v>0</v>
      </c>
      <c r="BP464">
        <v>0</v>
      </c>
      <c r="BQ464">
        <v>0</v>
      </c>
      <c r="BR464">
        <v>0</v>
      </c>
      <c r="BS464">
        <v>0</v>
      </c>
      <c r="BT464">
        <v>0</v>
      </c>
      <c r="BU464">
        <v>0</v>
      </c>
      <c r="BV464">
        <v>0</v>
      </c>
      <c r="BW464">
        <v>0</v>
      </c>
      <c r="BX464">
        <v>0</v>
      </c>
      <c r="BY464">
        <v>0</v>
      </c>
      <c r="BZ464">
        <v>0</v>
      </c>
      <c r="CA464">
        <v>0</v>
      </c>
      <c r="CB464">
        <v>0</v>
      </c>
    </row>
    <row r="465" spans="1:80" x14ac:dyDescent="0.2">
      <c r="A465">
        <v>0</v>
      </c>
      <c r="B465">
        <v>0</v>
      </c>
      <c r="C465">
        <v>0</v>
      </c>
      <c r="D465">
        <v>0</v>
      </c>
      <c r="E465">
        <v>0</v>
      </c>
      <c r="F465">
        <v>0</v>
      </c>
      <c r="G465">
        <v>0</v>
      </c>
      <c r="H465">
        <v>0</v>
      </c>
      <c r="I465">
        <v>0</v>
      </c>
      <c r="J465">
        <v>0</v>
      </c>
      <c r="K465">
        <v>0</v>
      </c>
      <c r="L465">
        <v>0</v>
      </c>
      <c r="M465">
        <v>0</v>
      </c>
      <c r="N465">
        <v>0</v>
      </c>
      <c r="O465">
        <v>0</v>
      </c>
      <c r="P465">
        <v>0</v>
      </c>
      <c r="Q465">
        <v>0</v>
      </c>
      <c r="R465">
        <v>0</v>
      </c>
      <c r="S465">
        <v>0</v>
      </c>
      <c r="T465">
        <v>0</v>
      </c>
      <c r="U465">
        <v>0</v>
      </c>
      <c r="V465">
        <v>0</v>
      </c>
      <c r="W465">
        <v>0</v>
      </c>
      <c r="X465">
        <v>0</v>
      </c>
      <c r="Y465">
        <v>0</v>
      </c>
      <c r="Z465">
        <v>0</v>
      </c>
      <c r="AA465">
        <v>0</v>
      </c>
      <c r="AB465">
        <v>0</v>
      </c>
      <c r="AC465">
        <v>0</v>
      </c>
      <c r="AD465">
        <v>0</v>
      </c>
      <c r="AE465">
        <v>0</v>
      </c>
      <c r="AF465">
        <v>0</v>
      </c>
      <c r="AG465">
        <v>0</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v>
      </c>
      <c r="BB465">
        <v>0</v>
      </c>
      <c r="BC465">
        <v>0</v>
      </c>
      <c r="BD465">
        <v>0</v>
      </c>
      <c r="BE465">
        <v>0</v>
      </c>
      <c r="BF465">
        <v>0</v>
      </c>
      <c r="BG465">
        <v>0</v>
      </c>
      <c r="BH465">
        <v>0</v>
      </c>
      <c r="BI465">
        <v>0</v>
      </c>
      <c r="BJ465">
        <v>0</v>
      </c>
      <c r="BK465">
        <v>0</v>
      </c>
      <c r="BL465">
        <v>0</v>
      </c>
      <c r="BM465">
        <v>0</v>
      </c>
      <c r="BN465">
        <v>0</v>
      </c>
      <c r="BO465">
        <v>0</v>
      </c>
      <c r="BP465">
        <v>0</v>
      </c>
      <c r="BQ465">
        <v>0</v>
      </c>
      <c r="BR465">
        <v>0</v>
      </c>
      <c r="BS465">
        <v>0</v>
      </c>
      <c r="BT465">
        <v>0</v>
      </c>
      <c r="BU465">
        <v>0</v>
      </c>
      <c r="BV465">
        <v>0</v>
      </c>
      <c r="BW465">
        <v>0</v>
      </c>
      <c r="BX465">
        <v>0</v>
      </c>
      <c r="BY465">
        <v>0</v>
      </c>
      <c r="BZ465">
        <v>0</v>
      </c>
      <c r="CA465">
        <v>0</v>
      </c>
      <c r="CB465">
        <v>0</v>
      </c>
    </row>
    <row r="466" spans="1:80" x14ac:dyDescent="0.2">
      <c r="A466">
        <v>0</v>
      </c>
      <c r="B466">
        <v>0</v>
      </c>
      <c r="C466">
        <v>0</v>
      </c>
      <c r="D466">
        <v>0</v>
      </c>
      <c r="E466">
        <v>0</v>
      </c>
      <c r="F466">
        <v>0</v>
      </c>
      <c r="G466">
        <v>0</v>
      </c>
      <c r="H466">
        <v>0</v>
      </c>
      <c r="I466">
        <v>0</v>
      </c>
      <c r="J466">
        <v>0</v>
      </c>
      <c r="K466">
        <v>0</v>
      </c>
      <c r="L466">
        <v>0</v>
      </c>
      <c r="M466">
        <v>0</v>
      </c>
      <c r="N466">
        <v>0</v>
      </c>
      <c r="O466">
        <v>0</v>
      </c>
      <c r="P466">
        <v>0</v>
      </c>
      <c r="Q466">
        <v>0</v>
      </c>
      <c r="R466">
        <v>0</v>
      </c>
      <c r="S466">
        <v>0</v>
      </c>
      <c r="T466">
        <v>0</v>
      </c>
      <c r="U466">
        <v>0</v>
      </c>
      <c r="V466">
        <v>0</v>
      </c>
      <c r="W466">
        <v>0</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v>0</v>
      </c>
      <c r="AT466">
        <v>0</v>
      </c>
      <c r="AU466">
        <v>0</v>
      </c>
      <c r="AV466">
        <v>0</v>
      </c>
      <c r="AW466">
        <v>0</v>
      </c>
      <c r="AX466">
        <v>0</v>
      </c>
      <c r="AY466">
        <v>0</v>
      </c>
      <c r="AZ466">
        <v>0</v>
      </c>
      <c r="BA466">
        <v>0</v>
      </c>
      <c r="BB466">
        <v>0</v>
      </c>
      <c r="BC466">
        <v>0</v>
      </c>
      <c r="BD466">
        <v>0</v>
      </c>
      <c r="BE466">
        <v>0</v>
      </c>
      <c r="BF466">
        <v>0</v>
      </c>
      <c r="BG466">
        <v>0</v>
      </c>
      <c r="BH466">
        <v>0</v>
      </c>
      <c r="BI466">
        <v>0</v>
      </c>
      <c r="BJ466">
        <v>0</v>
      </c>
      <c r="BK466">
        <v>0</v>
      </c>
      <c r="BL466">
        <v>0</v>
      </c>
      <c r="BM466">
        <v>0</v>
      </c>
      <c r="BN466">
        <v>0</v>
      </c>
      <c r="BO466">
        <v>0</v>
      </c>
      <c r="BP466">
        <v>0</v>
      </c>
      <c r="BQ466">
        <v>0</v>
      </c>
      <c r="BR466">
        <v>0</v>
      </c>
      <c r="BS466">
        <v>0</v>
      </c>
      <c r="BT466">
        <v>0</v>
      </c>
      <c r="BU466">
        <v>0</v>
      </c>
      <c r="BV466">
        <v>0</v>
      </c>
      <c r="BW466">
        <v>0</v>
      </c>
      <c r="BX466">
        <v>0</v>
      </c>
      <c r="BY466">
        <v>0</v>
      </c>
      <c r="BZ466">
        <v>0</v>
      </c>
      <c r="CA466">
        <v>0</v>
      </c>
      <c r="CB466">
        <v>0</v>
      </c>
    </row>
    <row r="467" spans="1:80" x14ac:dyDescent="0.2">
      <c r="A467">
        <v>0</v>
      </c>
      <c r="B467">
        <v>0</v>
      </c>
      <c r="C467">
        <v>0</v>
      </c>
      <c r="D467">
        <v>0</v>
      </c>
      <c r="E467">
        <v>0</v>
      </c>
      <c r="F467">
        <v>0</v>
      </c>
      <c r="G467">
        <v>0</v>
      </c>
      <c r="H467">
        <v>0</v>
      </c>
      <c r="I467">
        <v>0</v>
      </c>
      <c r="J467">
        <v>0</v>
      </c>
      <c r="K467">
        <v>0</v>
      </c>
      <c r="L467">
        <v>0</v>
      </c>
      <c r="M467">
        <v>0</v>
      </c>
      <c r="N467">
        <v>0</v>
      </c>
      <c r="O467">
        <v>0</v>
      </c>
      <c r="P467">
        <v>0</v>
      </c>
      <c r="Q467">
        <v>0</v>
      </c>
      <c r="R467">
        <v>0</v>
      </c>
      <c r="S467">
        <v>0</v>
      </c>
      <c r="T467">
        <v>0</v>
      </c>
      <c r="U467">
        <v>0</v>
      </c>
      <c r="V467">
        <v>0</v>
      </c>
      <c r="W467">
        <v>0</v>
      </c>
      <c r="X467">
        <v>0</v>
      </c>
      <c r="Y467">
        <v>0</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c r="AV467">
        <v>0</v>
      </c>
      <c r="AW467">
        <v>0</v>
      </c>
      <c r="AX467">
        <v>0</v>
      </c>
      <c r="AY467">
        <v>0</v>
      </c>
      <c r="AZ467">
        <v>0</v>
      </c>
      <c r="BA467">
        <v>0</v>
      </c>
      <c r="BB467">
        <v>0</v>
      </c>
      <c r="BC467">
        <v>0</v>
      </c>
      <c r="BD467">
        <v>0</v>
      </c>
      <c r="BE467">
        <v>0</v>
      </c>
      <c r="BF467">
        <v>0</v>
      </c>
      <c r="BG467">
        <v>0</v>
      </c>
      <c r="BH467">
        <v>0</v>
      </c>
      <c r="BI467">
        <v>0</v>
      </c>
      <c r="BJ467">
        <v>0</v>
      </c>
      <c r="BK467">
        <v>0</v>
      </c>
      <c r="BL467">
        <v>0</v>
      </c>
      <c r="BM467">
        <v>0</v>
      </c>
      <c r="BN467">
        <v>0</v>
      </c>
      <c r="BO467">
        <v>0</v>
      </c>
      <c r="BP467">
        <v>0</v>
      </c>
      <c r="BQ467">
        <v>0</v>
      </c>
      <c r="BR467">
        <v>0</v>
      </c>
      <c r="BS467">
        <v>0</v>
      </c>
      <c r="BT467">
        <v>0</v>
      </c>
      <c r="BU467">
        <v>0</v>
      </c>
      <c r="BV467">
        <v>0</v>
      </c>
      <c r="BW467">
        <v>0</v>
      </c>
      <c r="BX467">
        <v>0</v>
      </c>
      <c r="BY467">
        <v>0</v>
      </c>
      <c r="BZ467">
        <v>0</v>
      </c>
      <c r="CA467">
        <v>0</v>
      </c>
      <c r="CB467">
        <v>0</v>
      </c>
    </row>
    <row r="468" spans="1:80" x14ac:dyDescent="0.2">
      <c r="A468">
        <v>0</v>
      </c>
      <c r="B468">
        <v>0</v>
      </c>
      <c r="C468">
        <v>0</v>
      </c>
      <c r="D468">
        <v>0</v>
      </c>
      <c r="E468">
        <v>0</v>
      </c>
      <c r="F468">
        <v>0</v>
      </c>
      <c r="G468">
        <v>0</v>
      </c>
      <c r="H468">
        <v>0</v>
      </c>
      <c r="I468">
        <v>0</v>
      </c>
      <c r="J468">
        <v>0</v>
      </c>
      <c r="K468">
        <v>0</v>
      </c>
      <c r="L468">
        <v>0</v>
      </c>
      <c r="M468">
        <v>0</v>
      </c>
      <c r="N468">
        <v>0</v>
      </c>
      <c r="O468">
        <v>0</v>
      </c>
      <c r="P468">
        <v>0</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0</v>
      </c>
      <c r="BT468">
        <v>0</v>
      </c>
      <c r="BU468">
        <v>0</v>
      </c>
      <c r="BV468">
        <v>0</v>
      </c>
      <c r="BW468">
        <v>0</v>
      </c>
      <c r="BX468">
        <v>0</v>
      </c>
      <c r="BY468">
        <v>0</v>
      </c>
      <c r="BZ468">
        <v>0</v>
      </c>
      <c r="CA468">
        <v>0</v>
      </c>
      <c r="CB468">
        <v>0</v>
      </c>
    </row>
    <row r="469" spans="1:80" x14ac:dyDescent="0.2">
      <c r="A469">
        <v>0</v>
      </c>
      <c r="B469">
        <v>0</v>
      </c>
      <c r="C469">
        <v>0</v>
      </c>
      <c r="D469">
        <v>0</v>
      </c>
      <c r="E469">
        <v>0</v>
      </c>
      <c r="F469">
        <v>0</v>
      </c>
      <c r="G469">
        <v>0</v>
      </c>
      <c r="H469">
        <v>0</v>
      </c>
      <c r="I469">
        <v>0</v>
      </c>
      <c r="J469">
        <v>0</v>
      </c>
      <c r="K469">
        <v>0</v>
      </c>
      <c r="L469">
        <v>0</v>
      </c>
      <c r="M469">
        <v>0</v>
      </c>
      <c r="N469">
        <v>0</v>
      </c>
      <c r="O469">
        <v>0</v>
      </c>
      <c r="P469">
        <v>0</v>
      </c>
      <c r="Q469">
        <v>0</v>
      </c>
      <c r="R469">
        <v>0</v>
      </c>
      <c r="S469">
        <v>0</v>
      </c>
      <c r="T469">
        <v>0</v>
      </c>
      <c r="U469">
        <v>0</v>
      </c>
      <c r="V469">
        <v>0</v>
      </c>
      <c r="W469">
        <v>0</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v>
      </c>
      <c r="BE469">
        <v>0</v>
      </c>
      <c r="BF469">
        <v>0</v>
      </c>
      <c r="BG469">
        <v>0</v>
      </c>
      <c r="BH469">
        <v>0</v>
      </c>
      <c r="BI469">
        <v>0</v>
      </c>
      <c r="BJ469">
        <v>0</v>
      </c>
      <c r="BK469">
        <v>0</v>
      </c>
      <c r="BL469">
        <v>0</v>
      </c>
      <c r="BM469">
        <v>0</v>
      </c>
      <c r="BN469">
        <v>0</v>
      </c>
      <c r="BO469">
        <v>0</v>
      </c>
      <c r="BP469">
        <v>0</v>
      </c>
      <c r="BQ469">
        <v>0</v>
      </c>
      <c r="BR469">
        <v>0</v>
      </c>
      <c r="BS469">
        <v>0</v>
      </c>
      <c r="BT469">
        <v>0</v>
      </c>
      <c r="BU469">
        <v>0</v>
      </c>
      <c r="BV469">
        <v>0</v>
      </c>
      <c r="BW469">
        <v>0</v>
      </c>
      <c r="BX469">
        <v>0</v>
      </c>
      <c r="BY469">
        <v>0</v>
      </c>
      <c r="BZ469">
        <v>0</v>
      </c>
      <c r="CA469">
        <v>0</v>
      </c>
      <c r="CB469">
        <v>0</v>
      </c>
    </row>
    <row r="470" spans="1:80" x14ac:dyDescent="0.2">
      <c r="A470">
        <v>0</v>
      </c>
      <c r="B470">
        <v>0</v>
      </c>
      <c r="C470">
        <v>0</v>
      </c>
      <c r="D470">
        <v>0</v>
      </c>
      <c r="E470">
        <v>0</v>
      </c>
      <c r="F470">
        <v>0</v>
      </c>
      <c r="G470">
        <v>0</v>
      </c>
      <c r="H470">
        <v>0</v>
      </c>
      <c r="I470">
        <v>0</v>
      </c>
      <c r="J470">
        <v>0</v>
      </c>
      <c r="K470">
        <v>0</v>
      </c>
      <c r="L470">
        <v>0</v>
      </c>
      <c r="M470">
        <v>0</v>
      </c>
      <c r="N470">
        <v>0</v>
      </c>
      <c r="O470">
        <v>0</v>
      </c>
      <c r="P470">
        <v>0</v>
      </c>
      <c r="Q470">
        <v>0</v>
      </c>
      <c r="R470">
        <v>0</v>
      </c>
      <c r="S470">
        <v>0</v>
      </c>
      <c r="T470">
        <v>0</v>
      </c>
      <c r="U470">
        <v>0</v>
      </c>
      <c r="V470">
        <v>0</v>
      </c>
      <c r="W470">
        <v>0</v>
      </c>
      <c r="X470">
        <v>0</v>
      </c>
      <c r="Y470">
        <v>0</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v>0</v>
      </c>
      <c r="AS470">
        <v>0</v>
      </c>
      <c r="AT470">
        <v>0</v>
      </c>
      <c r="AU470">
        <v>0</v>
      </c>
      <c r="AV470">
        <v>0</v>
      </c>
      <c r="AW470">
        <v>0</v>
      </c>
      <c r="AX470">
        <v>0</v>
      </c>
      <c r="AY470">
        <v>0</v>
      </c>
      <c r="AZ470">
        <v>0</v>
      </c>
      <c r="BA470">
        <v>0</v>
      </c>
      <c r="BB470">
        <v>0</v>
      </c>
      <c r="BC470">
        <v>0</v>
      </c>
      <c r="BD470">
        <v>0</v>
      </c>
      <c r="BE470">
        <v>0</v>
      </c>
      <c r="BF470">
        <v>0</v>
      </c>
      <c r="BG470">
        <v>0</v>
      </c>
      <c r="BH470">
        <v>0</v>
      </c>
      <c r="BI470">
        <v>0</v>
      </c>
      <c r="BJ470">
        <v>0</v>
      </c>
      <c r="BK470">
        <v>0</v>
      </c>
      <c r="BL470">
        <v>0</v>
      </c>
      <c r="BM470">
        <v>0</v>
      </c>
      <c r="BN470">
        <v>0</v>
      </c>
      <c r="BO470">
        <v>0</v>
      </c>
      <c r="BP470">
        <v>0</v>
      </c>
      <c r="BQ470">
        <v>0</v>
      </c>
      <c r="BR470">
        <v>0</v>
      </c>
      <c r="BS470">
        <v>0</v>
      </c>
      <c r="BT470">
        <v>0</v>
      </c>
      <c r="BU470">
        <v>0</v>
      </c>
      <c r="BV470">
        <v>0</v>
      </c>
      <c r="BW470">
        <v>0</v>
      </c>
      <c r="BX470">
        <v>0</v>
      </c>
      <c r="BY470">
        <v>0</v>
      </c>
      <c r="BZ470">
        <v>0</v>
      </c>
      <c r="CA470">
        <v>0</v>
      </c>
      <c r="CB470">
        <v>0</v>
      </c>
    </row>
    <row r="471" spans="1:80" x14ac:dyDescent="0.2">
      <c r="A471">
        <v>0</v>
      </c>
      <c r="B471">
        <v>0</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v>0</v>
      </c>
      <c r="BI471">
        <v>0</v>
      </c>
      <c r="BJ471">
        <v>0</v>
      </c>
      <c r="BK471">
        <v>0</v>
      </c>
      <c r="BL471">
        <v>0</v>
      </c>
      <c r="BM471">
        <v>0</v>
      </c>
      <c r="BN471">
        <v>0</v>
      </c>
      <c r="BO471">
        <v>0</v>
      </c>
      <c r="BP471">
        <v>0</v>
      </c>
      <c r="BQ471">
        <v>0</v>
      </c>
      <c r="BR471">
        <v>0</v>
      </c>
      <c r="BS471">
        <v>0</v>
      </c>
      <c r="BT471">
        <v>0</v>
      </c>
      <c r="BU471">
        <v>0</v>
      </c>
      <c r="BV471">
        <v>0</v>
      </c>
      <c r="BW471">
        <v>0</v>
      </c>
      <c r="BX471">
        <v>0</v>
      </c>
      <c r="BY471">
        <v>0</v>
      </c>
      <c r="BZ471">
        <v>0</v>
      </c>
      <c r="CA471">
        <v>0</v>
      </c>
      <c r="CB471">
        <v>0</v>
      </c>
    </row>
    <row r="472" spans="1:80" x14ac:dyDescent="0.2">
      <c r="A472">
        <v>0</v>
      </c>
      <c r="B472">
        <v>0</v>
      </c>
      <c r="C472">
        <v>0</v>
      </c>
      <c r="D472">
        <v>0</v>
      </c>
      <c r="E472">
        <v>0</v>
      </c>
      <c r="F472">
        <v>0</v>
      </c>
      <c r="G472">
        <v>0</v>
      </c>
      <c r="H472">
        <v>0</v>
      </c>
      <c r="I472">
        <v>0</v>
      </c>
      <c r="J472">
        <v>0</v>
      </c>
      <c r="K472">
        <v>0</v>
      </c>
      <c r="L472">
        <v>0</v>
      </c>
      <c r="M472">
        <v>0</v>
      </c>
      <c r="N472">
        <v>0</v>
      </c>
      <c r="O472">
        <v>0</v>
      </c>
      <c r="P472">
        <v>0</v>
      </c>
      <c r="Q472">
        <v>0</v>
      </c>
      <c r="R472">
        <v>0</v>
      </c>
      <c r="S472">
        <v>0</v>
      </c>
      <c r="T472">
        <v>0</v>
      </c>
      <c r="U472">
        <v>0</v>
      </c>
      <c r="V472">
        <v>0</v>
      </c>
      <c r="W472">
        <v>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0</v>
      </c>
      <c r="BE472">
        <v>0</v>
      </c>
      <c r="BF472">
        <v>0</v>
      </c>
      <c r="BG472">
        <v>0</v>
      </c>
      <c r="BH472">
        <v>0</v>
      </c>
      <c r="BI472">
        <v>0</v>
      </c>
      <c r="BJ472">
        <v>0</v>
      </c>
      <c r="BK472">
        <v>0</v>
      </c>
      <c r="BL472">
        <v>0</v>
      </c>
      <c r="BM472">
        <v>0</v>
      </c>
      <c r="BN472">
        <v>0</v>
      </c>
      <c r="BO472">
        <v>0</v>
      </c>
      <c r="BP472">
        <v>0</v>
      </c>
      <c r="BQ472">
        <v>0</v>
      </c>
      <c r="BR472">
        <v>0</v>
      </c>
      <c r="BS472">
        <v>0</v>
      </c>
      <c r="BT472">
        <v>0</v>
      </c>
      <c r="BU472">
        <v>0</v>
      </c>
      <c r="BV472">
        <v>0</v>
      </c>
      <c r="BW472">
        <v>0</v>
      </c>
      <c r="BX472">
        <v>0</v>
      </c>
      <c r="BY472">
        <v>0</v>
      </c>
      <c r="BZ472">
        <v>0</v>
      </c>
      <c r="CA472">
        <v>0</v>
      </c>
      <c r="CB472">
        <v>0</v>
      </c>
    </row>
    <row r="473" spans="1:80" x14ac:dyDescent="0.2">
      <c r="A473">
        <v>0</v>
      </c>
      <c r="B473">
        <v>0</v>
      </c>
      <c r="C473">
        <v>0</v>
      </c>
      <c r="D473">
        <v>0</v>
      </c>
      <c r="E473">
        <v>0</v>
      </c>
      <c r="F473">
        <v>0</v>
      </c>
      <c r="G473">
        <v>0</v>
      </c>
      <c r="H473">
        <v>0</v>
      </c>
      <c r="I473">
        <v>0</v>
      </c>
      <c r="J473">
        <v>0</v>
      </c>
      <c r="K473">
        <v>0</v>
      </c>
      <c r="L473">
        <v>0</v>
      </c>
      <c r="M473">
        <v>0</v>
      </c>
      <c r="N473">
        <v>0</v>
      </c>
      <c r="O473">
        <v>0</v>
      </c>
      <c r="P473">
        <v>0</v>
      </c>
      <c r="Q473">
        <v>0</v>
      </c>
      <c r="R473">
        <v>0</v>
      </c>
      <c r="S473">
        <v>0</v>
      </c>
      <c r="T473">
        <v>0</v>
      </c>
      <c r="U473">
        <v>0</v>
      </c>
      <c r="V473">
        <v>0</v>
      </c>
      <c r="W473">
        <v>0</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v>0</v>
      </c>
      <c r="AS473">
        <v>0</v>
      </c>
      <c r="AT473">
        <v>0</v>
      </c>
      <c r="AU473">
        <v>0</v>
      </c>
      <c r="AV473">
        <v>0</v>
      </c>
      <c r="AW473">
        <v>0</v>
      </c>
      <c r="AX473">
        <v>0</v>
      </c>
      <c r="AY473">
        <v>0</v>
      </c>
      <c r="AZ473">
        <v>0</v>
      </c>
      <c r="BA473">
        <v>0</v>
      </c>
      <c r="BB473">
        <v>0</v>
      </c>
      <c r="BC473">
        <v>0</v>
      </c>
      <c r="BD473">
        <v>0</v>
      </c>
      <c r="BE473">
        <v>0</v>
      </c>
      <c r="BF473">
        <v>0</v>
      </c>
      <c r="BG473">
        <v>0</v>
      </c>
      <c r="BH473">
        <v>0</v>
      </c>
      <c r="BI473">
        <v>0</v>
      </c>
      <c r="BJ473">
        <v>0</v>
      </c>
      <c r="BK473">
        <v>0</v>
      </c>
      <c r="BL473">
        <v>0</v>
      </c>
      <c r="BM473">
        <v>0</v>
      </c>
      <c r="BN473">
        <v>0</v>
      </c>
      <c r="BO473">
        <v>0</v>
      </c>
      <c r="BP473">
        <v>0</v>
      </c>
      <c r="BQ473">
        <v>0</v>
      </c>
      <c r="BR473">
        <v>0</v>
      </c>
      <c r="BS473">
        <v>0</v>
      </c>
      <c r="BT473">
        <v>0</v>
      </c>
      <c r="BU473">
        <v>0</v>
      </c>
      <c r="BV473">
        <v>0</v>
      </c>
      <c r="BW473">
        <v>0</v>
      </c>
      <c r="BX473">
        <v>0</v>
      </c>
      <c r="BY473">
        <v>0</v>
      </c>
      <c r="BZ473">
        <v>0</v>
      </c>
      <c r="CA473">
        <v>0</v>
      </c>
      <c r="CB473">
        <v>0</v>
      </c>
    </row>
    <row r="474" spans="1:80" x14ac:dyDescent="0.2">
      <c r="A474">
        <v>0</v>
      </c>
      <c r="B474">
        <v>0</v>
      </c>
      <c r="C474">
        <v>0</v>
      </c>
      <c r="D474">
        <v>0</v>
      </c>
      <c r="E474">
        <v>0</v>
      </c>
      <c r="F474">
        <v>0</v>
      </c>
      <c r="G474">
        <v>0</v>
      </c>
      <c r="H474">
        <v>0</v>
      </c>
      <c r="I474">
        <v>0</v>
      </c>
      <c r="J474">
        <v>0</v>
      </c>
      <c r="K474">
        <v>0</v>
      </c>
      <c r="L474">
        <v>0</v>
      </c>
      <c r="M474">
        <v>0</v>
      </c>
      <c r="N474">
        <v>0</v>
      </c>
      <c r="O474">
        <v>0</v>
      </c>
      <c r="P474">
        <v>0</v>
      </c>
      <c r="Q474">
        <v>0</v>
      </c>
      <c r="R474">
        <v>0</v>
      </c>
      <c r="S474">
        <v>0</v>
      </c>
      <c r="T474">
        <v>0</v>
      </c>
      <c r="U474">
        <v>0</v>
      </c>
      <c r="V474">
        <v>0</v>
      </c>
      <c r="W474">
        <v>0</v>
      </c>
      <c r="X474">
        <v>0</v>
      </c>
      <c r="Y474">
        <v>0</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0</v>
      </c>
      <c r="AT474">
        <v>0</v>
      </c>
      <c r="AU474">
        <v>0</v>
      </c>
      <c r="AV474">
        <v>0</v>
      </c>
      <c r="AW474">
        <v>0</v>
      </c>
      <c r="AX474">
        <v>0</v>
      </c>
      <c r="AY474">
        <v>0</v>
      </c>
      <c r="AZ474">
        <v>0</v>
      </c>
      <c r="BA474">
        <v>0</v>
      </c>
      <c r="BB474">
        <v>0</v>
      </c>
      <c r="BC474">
        <v>0</v>
      </c>
      <c r="BD474">
        <v>0</v>
      </c>
      <c r="BE474">
        <v>0</v>
      </c>
      <c r="BF474">
        <v>0</v>
      </c>
      <c r="BG474">
        <v>0</v>
      </c>
      <c r="BH474">
        <v>0</v>
      </c>
      <c r="BI474">
        <v>0</v>
      </c>
      <c r="BJ474">
        <v>0</v>
      </c>
      <c r="BK474">
        <v>0</v>
      </c>
      <c r="BL474">
        <v>0</v>
      </c>
      <c r="BM474">
        <v>0</v>
      </c>
      <c r="BN474">
        <v>0</v>
      </c>
      <c r="BO474">
        <v>0</v>
      </c>
      <c r="BP474">
        <v>0</v>
      </c>
      <c r="BQ474">
        <v>0</v>
      </c>
      <c r="BR474">
        <v>0</v>
      </c>
      <c r="BS474">
        <v>0</v>
      </c>
      <c r="BT474">
        <v>0</v>
      </c>
      <c r="BU474">
        <v>0</v>
      </c>
      <c r="BV474">
        <v>0</v>
      </c>
      <c r="BW474">
        <v>0</v>
      </c>
      <c r="BX474">
        <v>0</v>
      </c>
      <c r="BY474">
        <v>0</v>
      </c>
      <c r="BZ474">
        <v>0</v>
      </c>
      <c r="CA474">
        <v>0</v>
      </c>
      <c r="CB474">
        <v>0</v>
      </c>
    </row>
    <row r="475" spans="1:80" x14ac:dyDescent="0.2">
      <c r="A475">
        <v>0</v>
      </c>
      <c r="B475">
        <v>0</v>
      </c>
      <c r="C475">
        <v>0</v>
      </c>
      <c r="D475">
        <v>0</v>
      </c>
      <c r="E475">
        <v>0</v>
      </c>
      <c r="F475">
        <v>0</v>
      </c>
      <c r="G475">
        <v>0</v>
      </c>
      <c r="H475">
        <v>0</v>
      </c>
      <c r="I475">
        <v>0</v>
      </c>
      <c r="J475">
        <v>0</v>
      </c>
      <c r="K475">
        <v>0</v>
      </c>
      <c r="L475">
        <v>0</v>
      </c>
      <c r="M475">
        <v>0</v>
      </c>
      <c r="N475">
        <v>0</v>
      </c>
      <c r="O475">
        <v>0</v>
      </c>
      <c r="P475">
        <v>0</v>
      </c>
      <c r="Q475">
        <v>0</v>
      </c>
      <c r="R475">
        <v>0</v>
      </c>
      <c r="S475">
        <v>0</v>
      </c>
      <c r="T475">
        <v>0</v>
      </c>
      <c r="U475">
        <v>0</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0</v>
      </c>
      <c r="BU475">
        <v>0</v>
      </c>
      <c r="BV475">
        <v>0</v>
      </c>
      <c r="BW475">
        <v>0</v>
      </c>
      <c r="BX475">
        <v>0</v>
      </c>
      <c r="BY475">
        <v>0</v>
      </c>
      <c r="BZ475">
        <v>0</v>
      </c>
      <c r="CA475">
        <v>0</v>
      </c>
      <c r="CB475">
        <v>0</v>
      </c>
    </row>
    <row r="476" spans="1:80" x14ac:dyDescent="0.2">
      <c r="A476">
        <v>0</v>
      </c>
      <c r="B476">
        <v>0</v>
      </c>
      <c r="C476">
        <v>0</v>
      </c>
      <c r="D476">
        <v>0</v>
      </c>
      <c r="E476">
        <v>0</v>
      </c>
      <c r="F476">
        <v>0</v>
      </c>
      <c r="G476">
        <v>0</v>
      </c>
      <c r="H476">
        <v>0</v>
      </c>
      <c r="I476">
        <v>0</v>
      </c>
      <c r="J476">
        <v>0</v>
      </c>
      <c r="K476">
        <v>0</v>
      </c>
      <c r="L476">
        <v>0</v>
      </c>
      <c r="M476">
        <v>0</v>
      </c>
      <c r="N476">
        <v>0</v>
      </c>
      <c r="O476">
        <v>0</v>
      </c>
      <c r="P476">
        <v>0</v>
      </c>
      <c r="Q476">
        <v>0</v>
      </c>
      <c r="R476">
        <v>0</v>
      </c>
      <c r="S476">
        <v>0</v>
      </c>
      <c r="T476">
        <v>0</v>
      </c>
      <c r="U476">
        <v>0</v>
      </c>
      <c r="V476">
        <v>0</v>
      </c>
      <c r="W476">
        <v>0</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0</v>
      </c>
      <c r="BB476">
        <v>0</v>
      </c>
      <c r="BC476">
        <v>0</v>
      </c>
      <c r="BD476">
        <v>0</v>
      </c>
      <c r="BE476">
        <v>0</v>
      </c>
      <c r="BF476">
        <v>0</v>
      </c>
      <c r="BG476">
        <v>0</v>
      </c>
      <c r="BH476">
        <v>0</v>
      </c>
      <c r="BI476">
        <v>0</v>
      </c>
      <c r="BJ476">
        <v>0</v>
      </c>
      <c r="BK476">
        <v>0</v>
      </c>
      <c r="BL476">
        <v>0</v>
      </c>
      <c r="BM476">
        <v>0</v>
      </c>
      <c r="BN476">
        <v>0</v>
      </c>
      <c r="BO476">
        <v>0</v>
      </c>
      <c r="BP476">
        <v>0</v>
      </c>
      <c r="BQ476">
        <v>0</v>
      </c>
      <c r="BR476">
        <v>0</v>
      </c>
      <c r="BS476">
        <v>0</v>
      </c>
      <c r="BT476">
        <v>0</v>
      </c>
      <c r="BU476">
        <v>0</v>
      </c>
      <c r="BV476">
        <v>0</v>
      </c>
      <c r="BW476">
        <v>0</v>
      </c>
      <c r="BX476">
        <v>0</v>
      </c>
      <c r="BY476">
        <v>0</v>
      </c>
      <c r="BZ476">
        <v>0</v>
      </c>
      <c r="CA476">
        <v>0</v>
      </c>
      <c r="CB476">
        <v>0</v>
      </c>
    </row>
    <row r="477" spans="1:80" x14ac:dyDescent="0.2">
      <c r="A477">
        <v>0</v>
      </c>
      <c r="B477">
        <v>0</v>
      </c>
      <c r="C477">
        <v>0</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v>0</v>
      </c>
      <c r="AS477">
        <v>0</v>
      </c>
      <c r="AT477">
        <v>0</v>
      </c>
      <c r="AU477">
        <v>0</v>
      </c>
      <c r="AV477">
        <v>0</v>
      </c>
      <c r="AW477">
        <v>0</v>
      </c>
      <c r="AX477">
        <v>0</v>
      </c>
      <c r="AY477">
        <v>0</v>
      </c>
      <c r="AZ477">
        <v>0</v>
      </c>
      <c r="BA477">
        <v>0</v>
      </c>
      <c r="BB477">
        <v>0</v>
      </c>
      <c r="BC477">
        <v>0</v>
      </c>
      <c r="BD477">
        <v>0</v>
      </c>
      <c r="BE477">
        <v>0</v>
      </c>
      <c r="BF477">
        <v>0</v>
      </c>
      <c r="BG477">
        <v>0</v>
      </c>
      <c r="BH477">
        <v>0</v>
      </c>
      <c r="BI477">
        <v>0</v>
      </c>
      <c r="BJ477">
        <v>0</v>
      </c>
      <c r="BK477">
        <v>0</v>
      </c>
      <c r="BL477">
        <v>0</v>
      </c>
      <c r="BM477">
        <v>0</v>
      </c>
      <c r="BN477">
        <v>0</v>
      </c>
      <c r="BO477">
        <v>0</v>
      </c>
      <c r="BP477">
        <v>0</v>
      </c>
      <c r="BQ477">
        <v>0</v>
      </c>
      <c r="BR477">
        <v>0</v>
      </c>
      <c r="BS477">
        <v>0</v>
      </c>
      <c r="BT477">
        <v>0</v>
      </c>
      <c r="BU477">
        <v>0</v>
      </c>
      <c r="BV477">
        <v>0</v>
      </c>
      <c r="BW477">
        <v>0</v>
      </c>
      <c r="BX477">
        <v>0</v>
      </c>
      <c r="BY477">
        <v>0</v>
      </c>
      <c r="BZ477">
        <v>0</v>
      </c>
      <c r="CA477">
        <v>0</v>
      </c>
      <c r="CB477">
        <v>0</v>
      </c>
    </row>
    <row r="478" spans="1:80" x14ac:dyDescent="0.2">
      <c r="A478">
        <v>0</v>
      </c>
      <c r="B478">
        <v>0</v>
      </c>
      <c r="C478">
        <v>0</v>
      </c>
      <c r="D478">
        <v>0</v>
      </c>
      <c r="E478">
        <v>0</v>
      </c>
      <c r="F478">
        <v>0</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v>
      </c>
      <c r="AT478">
        <v>0</v>
      </c>
      <c r="AU478">
        <v>0</v>
      </c>
      <c r="AV478">
        <v>0</v>
      </c>
      <c r="AW478">
        <v>0</v>
      </c>
      <c r="AX478">
        <v>0</v>
      </c>
      <c r="AY478">
        <v>0</v>
      </c>
      <c r="AZ478">
        <v>0</v>
      </c>
      <c r="BA478">
        <v>0</v>
      </c>
      <c r="BB478">
        <v>0</v>
      </c>
      <c r="BC478">
        <v>0</v>
      </c>
      <c r="BD478">
        <v>0</v>
      </c>
      <c r="BE478">
        <v>0</v>
      </c>
      <c r="BF478">
        <v>0</v>
      </c>
      <c r="BG478">
        <v>0</v>
      </c>
      <c r="BH478">
        <v>0</v>
      </c>
      <c r="BI478">
        <v>0</v>
      </c>
      <c r="BJ478">
        <v>0</v>
      </c>
      <c r="BK478">
        <v>0</v>
      </c>
      <c r="BL478">
        <v>0</v>
      </c>
      <c r="BM478">
        <v>0</v>
      </c>
      <c r="BN478">
        <v>0</v>
      </c>
      <c r="BO478">
        <v>0</v>
      </c>
      <c r="BP478">
        <v>0</v>
      </c>
      <c r="BQ478">
        <v>0</v>
      </c>
      <c r="BR478">
        <v>0</v>
      </c>
      <c r="BS478">
        <v>0</v>
      </c>
      <c r="BT478">
        <v>0</v>
      </c>
      <c r="BU478">
        <v>0</v>
      </c>
      <c r="BV478">
        <v>0</v>
      </c>
      <c r="BW478">
        <v>0</v>
      </c>
      <c r="BX478">
        <v>0</v>
      </c>
      <c r="BY478">
        <v>0</v>
      </c>
      <c r="BZ478">
        <v>0</v>
      </c>
      <c r="CA478">
        <v>0</v>
      </c>
      <c r="CB478">
        <v>0</v>
      </c>
    </row>
    <row r="479" spans="1:80" x14ac:dyDescent="0.2">
      <c r="A479">
        <v>0</v>
      </c>
      <c r="B479">
        <v>0</v>
      </c>
      <c r="C479">
        <v>0</v>
      </c>
      <c r="D479">
        <v>0</v>
      </c>
      <c r="E479">
        <v>0</v>
      </c>
      <c r="F479">
        <v>0</v>
      </c>
      <c r="G479">
        <v>0</v>
      </c>
      <c r="H479">
        <v>0</v>
      </c>
      <c r="I479">
        <v>0</v>
      </c>
      <c r="J479">
        <v>0</v>
      </c>
      <c r="K479">
        <v>0</v>
      </c>
      <c r="L479">
        <v>0</v>
      </c>
      <c r="M479">
        <v>0</v>
      </c>
      <c r="N479">
        <v>0</v>
      </c>
      <c r="O479">
        <v>0</v>
      </c>
      <c r="P479">
        <v>0</v>
      </c>
      <c r="Q479">
        <v>0</v>
      </c>
      <c r="R479">
        <v>0</v>
      </c>
      <c r="S479">
        <v>0</v>
      </c>
      <c r="T479">
        <v>0</v>
      </c>
      <c r="U479">
        <v>0</v>
      </c>
      <c r="V479">
        <v>0</v>
      </c>
      <c r="W479">
        <v>0</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v>
      </c>
      <c r="BH479">
        <v>0</v>
      </c>
      <c r="BI479">
        <v>0</v>
      </c>
      <c r="BJ479">
        <v>0</v>
      </c>
      <c r="BK479">
        <v>0</v>
      </c>
      <c r="BL479">
        <v>0</v>
      </c>
      <c r="BM479">
        <v>0</v>
      </c>
      <c r="BN479">
        <v>0</v>
      </c>
      <c r="BO479">
        <v>0</v>
      </c>
      <c r="BP479">
        <v>0</v>
      </c>
      <c r="BQ479">
        <v>0</v>
      </c>
      <c r="BR479">
        <v>0</v>
      </c>
      <c r="BS479">
        <v>0</v>
      </c>
      <c r="BT479">
        <v>0</v>
      </c>
      <c r="BU479">
        <v>0</v>
      </c>
      <c r="BV479">
        <v>0</v>
      </c>
      <c r="BW479">
        <v>0</v>
      </c>
      <c r="BX479">
        <v>0</v>
      </c>
      <c r="BY479">
        <v>0</v>
      </c>
      <c r="BZ479">
        <v>0</v>
      </c>
      <c r="CA479">
        <v>0</v>
      </c>
      <c r="CB479">
        <v>0</v>
      </c>
    </row>
    <row r="480" spans="1:80" x14ac:dyDescent="0.2">
      <c r="A480">
        <v>0</v>
      </c>
      <c r="B480">
        <v>0</v>
      </c>
      <c r="C480">
        <v>0</v>
      </c>
      <c r="D480">
        <v>0</v>
      </c>
      <c r="E480">
        <v>0</v>
      </c>
      <c r="F480">
        <v>0</v>
      </c>
      <c r="G480">
        <v>0</v>
      </c>
      <c r="H480">
        <v>0</v>
      </c>
      <c r="I480">
        <v>0</v>
      </c>
      <c r="J480">
        <v>0</v>
      </c>
      <c r="K480">
        <v>0</v>
      </c>
      <c r="L480">
        <v>0</v>
      </c>
      <c r="M480">
        <v>0</v>
      </c>
      <c r="N480">
        <v>0</v>
      </c>
      <c r="O480">
        <v>0</v>
      </c>
      <c r="P480">
        <v>0</v>
      </c>
      <c r="Q480">
        <v>0</v>
      </c>
      <c r="R480">
        <v>0</v>
      </c>
      <c r="S480">
        <v>0</v>
      </c>
      <c r="T480">
        <v>0</v>
      </c>
      <c r="U480">
        <v>0</v>
      </c>
      <c r="V480">
        <v>0</v>
      </c>
      <c r="W480">
        <v>0</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0</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0</v>
      </c>
      <c r="BU480">
        <v>0</v>
      </c>
      <c r="BV480">
        <v>0</v>
      </c>
      <c r="BW480">
        <v>0</v>
      </c>
      <c r="BX480">
        <v>0</v>
      </c>
      <c r="BY480">
        <v>0</v>
      </c>
      <c r="BZ480">
        <v>0</v>
      </c>
      <c r="CA480">
        <v>0</v>
      </c>
      <c r="CB480">
        <v>0</v>
      </c>
    </row>
    <row r="481" spans="1:80" x14ac:dyDescent="0.2">
      <c r="A481">
        <v>0</v>
      </c>
      <c r="B481">
        <v>0</v>
      </c>
      <c r="C481">
        <v>0</v>
      </c>
      <c r="D481">
        <v>0</v>
      </c>
      <c r="E481">
        <v>0</v>
      </c>
      <c r="F481">
        <v>0</v>
      </c>
      <c r="G481">
        <v>0</v>
      </c>
      <c r="H481">
        <v>0</v>
      </c>
      <c r="I481">
        <v>0</v>
      </c>
      <c r="J481">
        <v>0</v>
      </c>
      <c r="K481">
        <v>0</v>
      </c>
      <c r="L481">
        <v>0</v>
      </c>
      <c r="M481">
        <v>0</v>
      </c>
      <c r="N481">
        <v>0</v>
      </c>
      <c r="O481">
        <v>0</v>
      </c>
      <c r="P481">
        <v>0</v>
      </c>
      <c r="Q481">
        <v>0</v>
      </c>
      <c r="R481">
        <v>0</v>
      </c>
      <c r="S481">
        <v>0</v>
      </c>
      <c r="T481">
        <v>0</v>
      </c>
      <c r="U481">
        <v>0</v>
      </c>
      <c r="V481">
        <v>0</v>
      </c>
      <c r="W481">
        <v>0</v>
      </c>
      <c r="X481">
        <v>0</v>
      </c>
      <c r="Y481">
        <v>0</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v>0</v>
      </c>
      <c r="AS481">
        <v>0</v>
      </c>
      <c r="AT481">
        <v>0</v>
      </c>
      <c r="AU481">
        <v>0</v>
      </c>
      <c r="AV481">
        <v>0</v>
      </c>
      <c r="AW481">
        <v>0</v>
      </c>
      <c r="AX481">
        <v>0</v>
      </c>
      <c r="AY481">
        <v>0</v>
      </c>
      <c r="AZ481">
        <v>0</v>
      </c>
      <c r="BA481">
        <v>0</v>
      </c>
      <c r="BB481">
        <v>0</v>
      </c>
      <c r="BC481">
        <v>0</v>
      </c>
      <c r="BD481">
        <v>0</v>
      </c>
      <c r="BE481">
        <v>0</v>
      </c>
      <c r="BF481">
        <v>0</v>
      </c>
      <c r="BG481">
        <v>0</v>
      </c>
      <c r="BH481">
        <v>0</v>
      </c>
      <c r="BI481">
        <v>0</v>
      </c>
      <c r="BJ481">
        <v>0</v>
      </c>
      <c r="BK481">
        <v>0</v>
      </c>
      <c r="BL481">
        <v>0</v>
      </c>
      <c r="BM481">
        <v>0</v>
      </c>
      <c r="BN481">
        <v>0</v>
      </c>
      <c r="BO481">
        <v>0</v>
      </c>
      <c r="BP481">
        <v>0</v>
      </c>
      <c r="BQ481">
        <v>0</v>
      </c>
      <c r="BR481">
        <v>0</v>
      </c>
      <c r="BS481">
        <v>0</v>
      </c>
      <c r="BT481">
        <v>0</v>
      </c>
      <c r="BU481">
        <v>0</v>
      </c>
      <c r="BV481">
        <v>0</v>
      </c>
      <c r="BW481">
        <v>0</v>
      </c>
      <c r="BX481">
        <v>0</v>
      </c>
      <c r="BY481">
        <v>0</v>
      </c>
      <c r="BZ481">
        <v>0</v>
      </c>
      <c r="CA481">
        <v>0</v>
      </c>
      <c r="CB481">
        <v>0</v>
      </c>
    </row>
    <row r="482" spans="1:80" x14ac:dyDescent="0.2">
      <c r="A482">
        <v>0</v>
      </c>
      <c r="B482">
        <v>0</v>
      </c>
      <c r="C482">
        <v>0</v>
      </c>
      <c r="D482">
        <v>0</v>
      </c>
      <c r="E482">
        <v>0</v>
      </c>
      <c r="F482">
        <v>0</v>
      </c>
      <c r="G482">
        <v>0</v>
      </c>
      <c r="H482">
        <v>0</v>
      </c>
      <c r="I482">
        <v>0</v>
      </c>
      <c r="J482">
        <v>0</v>
      </c>
      <c r="K482">
        <v>0</v>
      </c>
      <c r="L482">
        <v>0</v>
      </c>
      <c r="M482">
        <v>0</v>
      </c>
      <c r="N482">
        <v>0</v>
      </c>
      <c r="O482">
        <v>0</v>
      </c>
      <c r="P482">
        <v>0</v>
      </c>
      <c r="Q482">
        <v>0</v>
      </c>
      <c r="R482">
        <v>0</v>
      </c>
      <c r="S482">
        <v>0</v>
      </c>
      <c r="T482">
        <v>0</v>
      </c>
      <c r="U482">
        <v>0</v>
      </c>
      <c r="V482">
        <v>0</v>
      </c>
      <c r="W482">
        <v>0</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0</v>
      </c>
      <c r="BH482">
        <v>0</v>
      </c>
      <c r="BI482">
        <v>0</v>
      </c>
      <c r="BJ482">
        <v>0</v>
      </c>
      <c r="BK482">
        <v>0</v>
      </c>
      <c r="BL482">
        <v>0</v>
      </c>
      <c r="BM482">
        <v>0</v>
      </c>
      <c r="BN482">
        <v>0</v>
      </c>
      <c r="BO482">
        <v>0</v>
      </c>
      <c r="BP482">
        <v>0</v>
      </c>
      <c r="BQ482">
        <v>0</v>
      </c>
      <c r="BR482">
        <v>0</v>
      </c>
      <c r="BS482">
        <v>0</v>
      </c>
      <c r="BT482">
        <v>0</v>
      </c>
      <c r="BU482">
        <v>0</v>
      </c>
      <c r="BV482">
        <v>0</v>
      </c>
      <c r="BW482">
        <v>0</v>
      </c>
      <c r="BX482">
        <v>0</v>
      </c>
      <c r="BY482">
        <v>0</v>
      </c>
      <c r="BZ482">
        <v>0</v>
      </c>
      <c r="CA482">
        <v>0</v>
      </c>
      <c r="CB482">
        <v>0</v>
      </c>
    </row>
    <row r="483" spans="1:80" x14ac:dyDescent="0.2">
      <c r="A483">
        <v>0</v>
      </c>
      <c r="B483">
        <v>0</v>
      </c>
      <c r="C483">
        <v>0</v>
      </c>
      <c r="D483">
        <v>0</v>
      </c>
      <c r="E483">
        <v>0</v>
      </c>
      <c r="F483">
        <v>0</v>
      </c>
      <c r="G483">
        <v>0</v>
      </c>
      <c r="H483">
        <v>0</v>
      </c>
      <c r="I483">
        <v>0</v>
      </c>
      <c r="J483">
        <v>0</v>
      </c>
      <c r="K483">
        <v>0</v>
      </c>
      <c r="L483">
        <v>0</v>
      </c>
      <c r="M483">
        <v>0</v>
      </c>
      <c r="N483">
        <v>0</v>
      </c>
      <c r="O483">
        <v>0</v>
      </c>
      <c r="P483">
        <v>0</v>
      </c>
      <c r="Q483">
        <v>0</v>
      </c>
      <c r="R483">
        <v>0</v>
      </c>
      <c r="S483">
        <v>0</v>
      </c>
      <c r="T483">
        <v>0</v>
      </c>
      <c r="U483">
        <v>0</v>
      </c>
      <c r="V483">
        <v>0</v>
      </c>
      <c r="W483">
        <v>0</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v>0</v>
      </c>
      <c r="BI483">
        <v>0</v>
      </c>
      <c r="BJ483">
        <v>0</v>
      </c>
      <c r="BK483">
        <v>0</v>
      </c>
      <c r="BL483">
        <v>0</v>
      </c>
      <c r="BM483">
        <v>0</v>
      </c>
      <c r="BN483">
        <v>0</v>
      </c>
      <c r="BO483">
        <v>0</v>
      </c>
      <c r="BP483">
        <v>0</v>
      </c>
      <c r="BQ483">
        <v>0</v>
      </c>
      <c r="BR483">
        <v>0</v>
      </c>
      <c r="BS483">
        <v>0</v>
      </c>
      <c r="BT483">
        <v>0</v>
      </c>
      <c r="BU483">
        <v>0</v>
      </c>
      <c r="BV483">
        <v>0</v>
      </c>
      <c r="BW483">
        <v>0</v>
      </c>
      <c r="BX483">
        <v>0</v>
      </c>
      <c r="BY483">
        <v>0</v>
      </c>
      <c r="BZ483">
        <v>0</v>
      </c>
      <c r="CA483">
        <v>0</v>
      </c>
      <c r="CB483">
        <v>0</v>
      </c>
    </row>
    <row r="484" spans="1:80" x14ac:dyDescent="0.2">
      <c r="A484">
        <v>0</v>
      </c>
      <c r="B484">
        <v>0</v>
      </c>
      <c r="C484">
        <v>0</v>
      </c>
      <c r="D484">
        <v>0</v>
      </c>
      <c r="E484">
        <v>0</v>
      </c>
      <c r="F484">
        <v>0</v>
      </c>
      <c r="G484">
        <v>0</v>
      </c>
      <c r="H484">
        <v>0</v>
      </c>
      <c r="I484">
        <v>0</v>
      </c>
      <c r="J484">
        <v>0</v>
      </c>
      <c r="K484">
        <v>0</v>
      </c>
      <c r="L484">
        <v>0</v>
      </c>
      <c r="M484">
        <v>0</v>
      </c>
      <c r="N484">
        <v>0</v>
      </c>
      <c r="O484">
        <v>0</v>
      </c>
      <c r="P484">
        <v>0</v>
      </c>
      <c r="Q484">
        <v>0</v>
      </c>
      <c r="R484">
        <v>0</v>
      </c>
      <c r="S484">
        <v>0</v>
      </c>
      <c r="T484">
        <v>0</v>
      </c>
      <c r="U484">
        <v>0</v>
      </c>
      <c r="V484">
        <v>0</v>
      </c>
      <c r="W484">
        <v>0</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v>0</v>
      </c>
      <c r="BA484">
        <v>0</v>
      </c>
      <c r="BB484">
        <v>0</v>
      </c>
      <c r="BC484">
        <v>0</v>
      </c>
      <c r="BD484">
        <v>0</v>
      </c>
      <c r="BE484">
        <v>0</v>
      </c>
      <c r="BF484">
        <v>0</v>
      </c>
      <c r="BG484">
        <v>0</v>
      </c>
      <c r="BH484">
        <v>0</v>
      </c>
      <c r="BI484">
        <v>0</v>
      </c>
      <c r="BJ484">
        <v>0</v>
      </c>
      <c r="BK484">
        <v>0</v>
      </c>
      <c r="BL484">
        <v>0</v>
      </c>
      <c r="BM484">
        <v>0</v>
      </c>
      <c r="BN484">
        <v>0</v>
      </c>
      <c r="BO484">
        <v>0</v>
      </c>
      <c r="BP484">
        <v>0</v>
      </c>
      <c r="BQ484">
        <v>0</v>
      </c>
      <c r="BR484">
        <v>0</v>
      </c>
      <c r="BS484">
        <v>0</v>
      </c>
      <c r="BT484">
        <v>0</v>
      </c>
      <c r="BU484">
        <v>0</v>
      </c>
      <c r="BV484">
        <v>0</v>
      </c>
      <c r="BW484">
        <v>0</v>
      </c>
      <c r="BX484">
        <v>0</v>
      </c>
      <c r="BY484">
        <v>0</v>
      </c>
      <c r="BZ484">
        <v>0</v>
      </c>
      <c r="CA484">
        <v>0</v>
      </c>
      <c r="CB484">
        <v>0</v>
      </c>
    </row>
    <row r="485" spans="1:80" x14ac:dyDescent="0.2">
      <c r="A485">
        <v>0</v>
      </c>
      <c r="B485">
        <v>0</v>
      </c>
      <c r="C485">
        <v>0</v>
      </c>
      <c r="D485">
        <v>0</v>
      </c>
      <c r="E485">
        <v>0</v>
      </c>
      <c r="F485">
        <v>0</v>
      </c>
      <c r="G485">
        <v>0</v>
      </c>
      <c r="H485">
        <v>0</v>
      </c>
      <c r="I485">
        <v>0</v>
      </c>
      <c r="J485">
        <v>0</v>
      </c>
      <c r="K485">
        <v>0</v>
      </c>
      <c r="L485">
        <v>0</v>
      </c>
      <c r="M485">
        <v>0</v>
      </c>
      <c r="N485">
        <v>0</v>
      </c>
      <c r="O485">
        <v>0</v>
      </c>
      <c r="P485">
        <v>0</v>
      </c>
      <c r="Q485">
        <v>0</v>
      </c>
      <c r="R485">
        <v>0</v>
      </c>
      <c r="S485">
        <v>0</v>
      </c>
      <c r="T485">
        <v>0</v>
      </c>
      <c r="U485">
        <v>0</v>
      </c>
      <c r="V485">
        <v>0</v>
      </c>
      <c r="W485">
        <v>0</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v>0</v>
      </c>
      <c r="AW485">
        <v>0</v>
      </c>
      <c r="AX485">
        <v>0</v>
      </c>
      <c r="AY485">
        <v>0</v>
      </c>
      <c r="AZ485">
        <v>0</v>
      </c>
      <c r="BA485">
        <v>0</v>
      </c>
      <c r="BB485">
        <v>0</v>
      </c>
      <c r="BC485">
        <v>0</v>
      </c>
      <c r="BD485">
        <v>0</v>
      </c>
      <c r="BE485">
        <v>0</v>
      </c>
      <c r="BF485">
        <v>0</v>
      </c>
      <c r="BG485">
        <v>0</v>
      </c>
      <c r="BH485">
        <v>0</v>
      </c>
      <c r="BI485">
        <v>0</v>
      </c>
      <c r="BJ485">
        <v>0</v>
      </c>
      <c r="BK485">
        <v>0</v>
      </c>
      <c r="BL485">
        <v>0</v>
      </c>
      <c r="BM485">
        <v>0</v>
      </c>
      <c r="BN485">
        <v>0</v>
      </c>
      <c r="BO485">
        <v>0</v>
      </c>
      <c r="BP485">
        <v>0</v>
      </c>
      <c r="BQ485">
        <v>0</v>
      </c>
      <c r="BR485">
        <v>0</v>
      </c>
      <c r="BS485">
        <v>0</v>
      </c>
      <c r="BT485">
        <v>0</v>
      </c>
      <c r="BU485">
        <v>0</v>
      </c>
      <c r="BV485">
        <v>0</v>
      </c>
      <c r="BW485">
        <v>0</v>
      </c>
      <c r="BX485">
        <v>0</v>
      </c>
      <c r="BY485">
        <v>0</v>
      </c>
      <c r="BZ485">
        <v>0</v>
      </c>
      <c r="CA485">
        <v>0</v>
      </c>
      <c r="CB485">
        <v>0</v>
      </c>
    </row>
    <row r="486" spans="1:80" x14ac:dyDescent="0.2">
      <c r="A486">
        <v>0</v>
      </c>
      <c r="B486">
        <v>0</v>
      </c>
      <c r="C486">
        <v>0</v>
      </c>
      <c r="D486">
        <v>0</v>
      </c>
      <c r="E486">
        <v>0</v>
      </c>
      <c r="F486">
        <v>0</v>
      </c>
      <c r="G486">
        <v>0</v>
      </c>
      <c r="H486">
        <v>0</v>
      </c>
      <c r="I486">
        <v>0</v>
      </c>
      <c r="J486">
        <v>0</v>
      </c>
      <c r="K486">
        <v>0</v>
      </c>
      <c r="L486">
        <v>0</v>
      </c>
      <c r="M486">
        <v>0</v>
      </c>
      <c r="N486">
        <v>0</v>
      </c>
      <c r="O486">
        <v>0</v>
      </c>
      <c r="P486">
        <v>0</v>
      </c>
      <c r="Q486">
        <v>0</v>
      </c>
      <c r="R486">
        <v>0</v>
      </c>
      <c r="S486">
        <v>0</v>
      </c>
      <c r="T486">
        <v>0</v>
      </c>
      <c r="U486">
        <v>0</v>
      </c>
      <c r="V486">
        <v>0</v>
      </c>
      <c r="W486">
        <v>0</v>
      </c>
      <c r="X486">
        <v>0</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0</v>
      </c>
      <c r="BO486">
        <v>0</v>
      </c>
      <c r="BP486">
        <v>0</v>
      </c>
      <c r="BQ486">
        <v>0</v>
      </c>
      <c r="BR486">
        <v>0</v>
      </c>
      <c r="BS486">
        <v>0</v>
      </c>
      <c r="BT486">
        <v>0</v>
      </c>
      <c r="BU486">
        <v>0</v>
      </c>
      <c r="BV486">
        <v>0</v>
      </c>
      <c r="BW486">
        <v>0</v>
      </c>
      <c r="BX486">
        <v>0</v>
      </c>
      <c r="BY486">
        <v>0</v>
      </c>
      <c r="BZ486">
        <v>0</v>
      </c>
      <c r="CA486">
        <v>0</v>
      </c>
      <c r="CB486">
        <v>0</v>
      </c>
    </row>
    <row r="487" spans="1:80" x14ac:dyDescent="0.2">
      <c r="A487">
        <v>0</v>
      </c>
      <c r="B487">
        <v>0</v>
      </c>
      <c r="C487">
        <v>0</v>
      </c>
      <c r="D487">
        <v>0</v>
      </c>
      <c r="E487">
        <v>0</v>
      </c>
      <c r="F487">
        <v>0</v>
      </c>
      <c r="G487">
        <v>0</v>
      </c>
      <c r="H487">
        <v>0</v>
      </c>
      <c r="I487">
        <v>0</v>
      </c>
      <c r="J487">
        <v>0</v>
      </c>
      <c r="K487">
        <v>0</v>
      </c>
      <c r="L487">
        <v>0</v>
      </c>
      <c r="M487">
        <v>0</v>
      </c>
      <c r="N487">
        <v>0</v>
      </c>
      <c r="O487">
        <v>0</v>
      </c>
      <c r="P487">
        <v>0</v>
      </c>
      <c r="Q487">
        <v>0</v>
      </c>
      <c r="R487">
        <v>0</v>
      </c>
      <c r="S487">
        <v>0</v>
      </c>
      <c r="T487">
        <v>0</v>
      </c>
      <c r="U487">
        <v>0</v>
      </c>
      <c r="V487">
        <v>0</v>
      </c>
      <c r="W487">
        <v>0</v>
      </c>
      <c r="X487">
        <v>0</v>
      </c>
      <c r="Y487">
        <v>0</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v>0</v>
      </c>
      <c r="AS487">
        <v>0</v>
      </c>
      <c r="AT487">
        <v>0</v>
      </c>
      <c r="AU487">
        <v>0</v>
      </c>
      <c r="AV487">
        <v>0</v>
      </c>
      <c r="AW487">
        <v>0</v>
      </c>
      <c r="AX487">
        <v>0</v>
      </c>
      <c r="AY487">
        <v>0</v>
      </c>
      <c r="AZ487">
        <v>0</v>
      </c>
      <c r="BA487">
        <v>0</v>
      </c>
      <c r="BB487">
        <v>0</v>
      </c>
      <c r="BC487">
        <v>0</v>
      </c>
      <c r="BD487">
        <v>0</v>
      </c>
      <c r="BE487">
        <v>0</v>
      </c>
      <c r="BF487">
        <v>0</v>
      </c>
      <c r="BG487">
        <v>0</v>
      </c>
      <c r="BH487">
        <v>0</v>
      </c>
      <c r="BI487">
        <v>0</v>
      </c>
      <c r="BJ487">
        <v>0</v>
      </c>
      <c r="BK487">
        <v>0</v>
      </c>
      <c r="BL487">
        <v>0</v>
      </c>
      <c r="BM487">
        <v>0</v>
      </c>
      <c r="BN487">
        <v>0</v>
      </c>
      <c r="BO487">
        <v>0</v>
      </c>
      <c r="BP487">
        <v>0</v>
      </c>
      <c r="BQ487">
        <v>0</v>
      </c>
      <c r="BR487">
        <v>0</v>
      </c>
      <c r="BS487">
        <v>0</v>
      </c>
      <c r="BT487">
        <v>0</v>
      </c>
      <c r="BU487">
        <v>0</v>
      </c>
      <c r="BV487">
        <v>0</v>
      </c>
      <c r="BW487">
        <v>0</v>
      </c>
      <c r="BX487">
        <v>0</v>
      </c>
      <c r="BY487">
        <v>0</v>
      </c>
      <c r="BZ487">
        <v>0</v>
      </c>
      <c r="CA487">
        <v>0</v>
      </c>
      <c r="CB487">
        <v>0</v>
      </c>
    </row>
    <row r="488" spans="1:80" x14ac:dyDescent="0.2">
      <c r="A488">
        <v>0</v>
      </c>
      <c r="B488">
        <v>0</v>
      </c>
      <c r="C488">
        <v>0</v>
      </c>
      <c r="D488">
        <v>0</v>
      </c>
      <c r="E488">
        <v>0</v>
      </c>
      <c r="F488">
        <v>0</v>
      </c>
      <c r="G488">
        <v>0</v>
      </c>
      <c r="H488">
        <v>0</v>
      </c>
      <c r="I488">
        <v>0</v>
      </c>
      <c r="J488">
        <v>0</v>
      </c>
      <c r="K488">
        <v>0</v>
      </c>
      <c r="L488">
        <v>0</v>
      </c>
      <c r="M488">
        <v>0</v>
      </c>
      <c r="N488">
        <v>0</v>
      </c>
      <c r="O488">
        <v>0</v>
      </c>
      <c r="P488">
        <v>0</v>
      </c>
      <c r="Q488">
        <v>0</v>
      </c>
      <c r="R488">
        <v>0</v>
      </c>
      <c r="S488">
        <v>0</v>
      </c>
      <c r="T488">
        <v>0</v>
      </c>
      <c r="U488">
        <v>0</v>
      </c>
      <c r="V488">
        <v>0</v>
      </c>
      <c r="W488">
        <v>0</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0</v>
      </c>
      <c r="BA488">
        <v>0</v>
      </c>
      <c r="BB488">
        <v>0</v>
      </c>
      <c r="BC488">
        <v>0</v>
      </c>
      <c r="BD488">
        <v>0</v>
      </c>
      <c r="BE488">
        <v>0</v>
      </c>
      <c r="BF488">
        <v>0</v>
      </c>
      <c r="BG488">
        <v>0</v>
      </c>
      <c r="BH488">
        <v>0</v>
      </c>
      <c r="BI488">
        <v>0</v>
      </c>
      <c r="BJ488">
        <v>0</v>
      </c>
      <c r="BK488">
        <v>0</v>
      </c>
      <c r="BL488">
        <v>0</v>
      </c>
      <c r="BM488">
        <v>0</v>
      </c>
      <c r="BN488">
        <v>0</v>
      </c>
      <c r="BO488">
        <v>0</v>
      </c>
      <c r="BP488">
        <v>0</v>
      </c>
      <c r="BQ488">
        <v>0</v>
      </c>
      <c r="BR488">
        <v>0</v>
      </c>
      <c r="BS488">
        <v>0</v>
      </c>
      <c r="BT488">
        <v>0</v>
      </c>
      <c r="BU488">
        <v>0</v>
      </c>
      <c r="BV488">
        <v>0</v>
      </c>
      <c r="BW488">
        <v>0</v>
      </c>
      <c r="BX488">
        <v>0</v>
      </c>
      <c r="BY488">
        <v>0</v>
      </c>
      <c r="BZ488">
        <v>0</v>
      </c>
      <c r="CA488">
        <v>0</v>
      </c>
      <c r="CB488">
        <v>0</v>
      </c>
    </row>
    <row r="489" spans="1:80" x14ac:dyDescent="0.2">
      <c r="A489">
        <v>0</v>
      </c>
      <c r="B489">
        <v>0</v>
      </c>
      <c r="C489">
        <v>0</v>
      </c>
      <c r="D489">
        <v>0</v>
      </c>
      <c r="E489">
        <v>0</v>
      </c>
      <c r="F489">
        <v>0</v>
      </c>
      <c r="G489">
        <v>0</v>
      </c>
      <c r="H489">
        <v>0</v>
      </c>
      <c r="I489">
        <v>0</v>
      </c>
      <c r="J489">
        <v>0</v>
      </c>
      <c r="K489">
        <v>0</v>
      </c>
      <c r="L489">
        <v>0</v>
      </c>
      <c r="M489">
        <v>0</v>
      </c>
      <c r="N489">
        <v>0</v>
      </c>
      <c r="O489">
        <v>0</v>
      </c>
      <c r="P489">
        <v>0</v>
      </c>
      <c r="Q489">
        <v>0</v>
      </c>
      <c r="R489">
        <v>0</v>
      </c>
      <c r="S489">
        <v>0</v>
      </c>
      <c r="T489">
        <v>0</v>
      </c>
      <c r="U489">
        <v>0</v>
      </c>
      <c r="V489">
        <v>0</v>
      </c>
      <c r="W489">
        <v>0</v>
      </c>
      <c r="X489">
        <v>0</v>
      </c>
      <c r="Y489">
        <v>0</v>
      </c>
      <c r="Z489">
        <v>0</v>
      </c>
      <c r="AA489">
        <v>0</v>
      </c>
      <c r="AB489">
        <v>0</v>
      </c>
      <c r="AC489">
        <v>0</v>
      </c>
      <c r="AD489">
        <v>0</v>
      </c>
      <c r="AE489">
        <v>0</v>
      </c>
      <c r="AF489">
        <v>0</v>
      </c>
      <c r="AG489">
        <v>0</v>
      </c>
      <c r="AH489">
        <v>0</v>
      </c>
      <c r="AI489">
        <v>0</v>
      </c>
      <c r="AJ489">
        <v>0</v>
      </c>
      <c r="AK489">
        <v>0</v>
      </c>
      <c r="AL489">
        <v>0</v>
      </c>
      <c r="AM489">
        <v>0</v>
      </c>
      <c r="AN489">
        <v>0</v>
      </c>
      <c r="AO489">
        <v>0</v>
      </c>
      <c r="AP489">
        <v>0</v>
      </c>
      <c r="AQ489">
        <v>0</v>
      </c>
      <c r="AR489">
        <v>0</v>
      </c>
      <c r="AS489">
        <v>0</v>
      </c>
      <c r="AT489">
        <v>0</v>
      </c>
      <c r="AU489">
        <v>0</v>
      </c>
      <c r="AV489">
        <v>0</v>
      </c>
      <c r="AW489">
        <v>0</v>
      </c>
      <c r="AX489">
        <v>0</v>
      </c>
      <c r="AY489">
        <v>0</v>
      </c>
      <c r="AZ489">
        <v>0</v>
      </c>
      <c r="BA489">
        <v>0</v>
      </c>
      <c r="BB489">
        <v>0</v>
      </c>
      <c r="BC489">
        <v>0</v>
      </c>
      <c r="BD489">
        <v>0</v>
      </c>
      <c r="BE489">
        <v>0</v>
      </c>
      <c r="BF489">
        <v>0</v>
      </c>
      <c r="BG489">
        <v>0</v>
      </c>
      <c r="BH489">
        <v>0</v>
      </c>
      <c r="BI489">
        <v>0</v>
      </c>
      <c r="BJ489">
        <v>0</v>
      </c>
      <c r="BK489">
        <v>0</v>
      </c>
      <c r="BL489">
        <v>0</v>
      </c>
      <c r="BM489">
        <v>0</v>
      </c>
      <c r="BN489">
        <v>0</v>
      </c>
      <c r="BO489">
        <v>0</v>
      </c>
      <c r="BP489">
        <v>0</v>
      </c>
      <c r="BQ489">
        <v>0</v>
      </c>
      <c r="BR489">
        <v>0</v>
      </c>
      <c r="BS489">
        <v>0</v>
      </c>
      <c r="BT489">
        <v>0</v>
      </c>
      <c r="BU489">
        <v>0</v>
      </c>
      <c r="BV489">
        <v>0</v>
      </c>
      <c r="BW489">
        <v>0</v>
      </c>
      <c r="BX489">
        <v>0</v>
      </c>
      <c r="BY489">
        <v>0</v>
      </c>
      <c r="BZ489">
        <v>0</v>
      </c>
      <c r="CA489">
        <v>0</v>
      </c>
      <c r="CB489">
        <v>0</v>
      </c>
    </row>
    <row r="490" spans="1:80" x14ac:dyDescent="0.2">
      <c r="A490">
        <v>0</v>
      </c>
      <c r="B490">
        <v>0</v>
      </c>
      <c r="C490">
        <v>0</v>
      </c>
      <c r="D490">
        <v>0</v>
      </c>
      <c r="E490">
        <v>0</v>
      </c>
      <c r="F490">
        <v>0</v>
      </c>
      <c r="G490">
        <v>0</v>
      </c>
      <c r="H490">
        <v>0</v>
      </c>
      <c r="I490">
        <v>0</v>
      </c>
      <c r="J490">
        <v>0</v>
      </c>
      <c r="K490">
        <v>0</v>
      </c>
      <c r="L490">
        <v>0</v>
      </c>
      <c r="M490">
        <v>0</v>
      </c>
      <c r="N490">
        <v>0</v>
      </c>
      <c r="O490">
        <v>0</v>
      </c>
      <c r="P490">
        <v>0</v>
      </c>
      <c r="Q490">
        <v>0</v>
      </c>
      <c r="R490">
        <v>0</v>
      </c>
      <c r="S490">
        <v>0</v>
      </c>
      <c r="T490">
        <v>0</v>
      </c>
      <c r="U490">
        <v>0</v>
      </c>
      <c r="V490">
        <v>0</v>
      </c>
      <c r="W490">
        <v>0</v>
      </c>
      <c r="X490">
        <v>0</v>
      </c>
      <c r="Y490">
        <v>0</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v>0</v>
      </c>
      <c r="AS490">
        <v>0</v>
      </c>
      <c r="AT490">
        <v>0</v>
      </c>
      <c r="AU490">
        <v>0</v>
      </c>
      <c r="AV490">
        <v>0</v>
      </c>
      <c r="AW490">
        <v>0</v>
      </c>
      <c r="AX490">
        <v>0</v>
      </c>
      <c r="AY490">
        <v>0</v>
      </c>
      <c r="AZ490">
        <v>0</v>
      </c>
      <c r="BA490">
        <v>0</v>
      </c>
      <c r="BB490">
        <v>0</v>
      </c>
      <c r="BC490">
        <v>0</v>
      </c>
      <c r="BD490">
        <v>0</v>
      </c>
      <c r="BE490">
        <v>0</v>
      </c>
      <c r="BF490">
        <v>0</v>
      </c>
      <c r="BG490">
        <v>0</v>
      </c>
      <c r="BH490">
        <v>0</v>
      </c>
      <c r="BI490">
        <v>0</v>
      </c>
      <c r="BJ490">
        <v>0</v>
      </c>
      <c r="BK490">
        <v>0</v>
      </c>
      <c r="BL490">
        <v>0</v>
      </c>
      <c r="BM490">
        <v>0</v>
      </c>
      <c r="BN490">
        <v>0</v>
      </c>
      <c r="BO490">
        <v>0</v>
      </c>
      <c r="BP490">
        <v>0</v>
      </c>
      <c r="BQ490">
        <v>0</v>
      </c>
      <c r="BR490">
        <v>0</v>
      </c>
      <c r="BS490">
        <v>0</v>
      </c>
      <c r="BT490">
        <v>0</v>
      </c>
      <c r="BU490">
        <v>0</v>
      </c>
      <c r="BV490">
        <v>0</v>
      </c>
      <c r="BW490">
        <v>0</v>
      </c>
      <c r="BX490">
        <v>0</v>
      </c>
      <c r="BY490">
        <v>0</v>
      </c>
      <c r="BZ490">
        <v>0</v>
      </c>
      <c r="CA490">
        <v>0</v>
      </c>
      <c r="CB490">
        <v>0</v>
      </c>
    </row>
    <row r="491" spans="1:80" x14ac:dyDescent="0.2">
      <c r="A491">
        <v>0</v>
      </c>
      <c r="B491">
        <v>0</v>
      </c>
      <c r="C491">
        <v>0</v>
      </c>
      <c r="D491">
        <v>0</v>
      </c>
      <c r="E491">
        <v>0</v>
      </c>
      <c r="F491">
        <v>0</v>
      </c>
      <c r="G491">
        <v>0</v>
      </c>
      <c r="H491">
        <v>0</v>
      </c>
      <c r="I491">
        <v>0</v>
      </c>
      <c r="J491">
        <v>0</v>
      </c>
      <c r="K491">
        <v>0</v>
      </c>
      <c r="L491">
        <v>0</v>
      </c>
      <c r="M491">
        <v>0</v>
      </c>
      <c r="N491">
        <v>0</v>
      </c>
      <c r="O491">
        <v>0</v>
      </c>
      <c r="P491">
        <v>0</v>
      </c>
      <c r="Q491">
        <v>0</v>
      </c>
      <c r="R491">
        <v>0</v>
      </c>
      <c r="S491">
        <v>0</v>
      </c>
      <c r="T491">
        <v>0</v>
      </c>
      <c r="U491">
        <v>0</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v>0</v>
      </c>
      <c r="AY491">
        <v>0</v>
      </c>
      <c r="AZ491">
        <v>0</v>
      </c>
      <c r="BA491">
        <v>0</v>
      </c>
      <c r="BB491">
        <v>0</v>
      </c>
      <c r="BC491">
        <v>0</v>
      </c>
      <c r="BD491">
        <v>0</v>
      </c>
      <c r="BE491">
        <v>0</v>
      </c>
      <c r="BF491">
        <v>0</v>
      </c>
      <c r="BG491">
        <v>0</v>
      </c>
      <c r="BH491">
        <v>0</v>
      </c>
      <c r="BI491">
        <v>0</v>
      </c>
      <c r="BJ491">
        <v>0</v>
      </c>
      <c r="BK491">
        <v>0</v>
      </c>
      <c r="BL491">
        <v>0</v>
      </c>
      <c r="BM491">
        <v>0</v>
      </c>
      <c r="BN491">
        <v>0</v>
      </c>
      <c r="BO491">
        <v>0</v>
      </c>
      <c r="BP491">
        <v>0</v>
      </c>
      <c r="BQ491">
        <v>0</v>
      </c>
      <c r="BR491">
        <v>0</v>
      </c>
      <c r="BS491">
        <v>0</v>
      </c>
      <c r="BT491">
        <v>0</v>
      </c>
      <c r="BU491">
        <v>0</v>
      </c>
      <c r="BV491">
        <v>0</v>
      </c>
      <c r="BW491">
        <v>0</v>
      </c>
      <c r="BX491">
        <v>0</v>
      </c>
      <c r="BY491">
        <v>0</v>
      </c>
      <c r="BZ491">
        <v>0</v>
      </c>
      <c r="CA491">
        <v>0</v>
      </c>
      <c r="CB491">
        <v>0</v>
      </c>
    </row>
    <row r="492" spans="1:80" x14ac:dyDescent="0.2">
      <c r="A492">
        <v>0</v>
      </c>
      <c r="B492">
        <v>0</v>
      </c>
      <c r="C492">
        <v>0</v>
      </c>
      <c r="D492">
        <v>0</v>
      </c>
      <c r="E492">
        <v>0</v>
      </c>
      <c r="F492">
        <v>0</v>
      </c>
      <c r="G492">
        <v>0</v>
      </c>
      <c r="H492">
        <v>0</v>
      </c>
      <c r="I492">
        <v>0</v>
      </c>
      <c r="J492">
        <v>0</v>
      </c>
      <c r="K492">
        <v>0</v>
      </c>
      <c r="L492">
        <v>0</v>
      </c>
      <c r="M492">
        <v>0</v>
      </c>
      <c r="N492">
        <v>0</v>
      </c>
      <c r="O492">
        <v>0</v>
      </c>
      <c r="P492">
        <v>0</v>
      </c>
      <c r="Q492">
        <v>0</v>
      </c>
      <c r="R492">
        <v>0</v>
      </c>
      <c r="S492">
        <v>0</v>
      </c>
      <c r="T492">
        <v>0</v>
      </c>
      <c r="U492">
        <v>0</v>
      </c>
      <c r="V492">
        <v>0</v>
      </c>
      <c r="W492">
        <v>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0</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v>0</v>
      </c>
      <c r="BN492">
        <v>0</v>
      </c>
      <c r="BO492">
        <v>0</v>
      </c>
      <c r="BP492">
        <v>0</v>
      </c>
      <c r="BQ492">
        <v>0</v>
      </c>
      <c r="BR492">
        <v>0</v>
      </c>
      <c r="BS492">
        <v>0</v>
      </c>
      <c r="BT492">
        <v>0</v>
      </c>
      <c r="BU492">
        <v>0</v>
      </c>
      <c r="BV492">
        <v>0</v>
      </c>
      <c r="BW492">
        <v>0</v>
      </c>
      <c r="BX492">
        <v>0</v>
      </c>
      <c r="BY492">
        <v>0</v>
      </c>
      <c r="BZ492">
        <v>0</v>
      </c>
      <c r="CA492">
        <v>0</v>
      </c>
      <c r="CB492">
        <v>0</v>
      </c>
    </row>
    <row r="493" spans="1:80" x14ac:dyDescent="0.2">
      <c r="A493">
        <v>0</v>
      </c>
      <c r="B493">
        <v>0</v>
      </c>
      <c r="C493">
        <v>0</v>
      </c>
      <c r="D493">
        <v>0</v>
      </c>
      <c r="E493">
        <v>0</v>
      </c>
      <c r="F493">
        <v>0</v>
      </c>
      <c r="G493">
        <v>0</v>
      </c>
      <c r="H493">
        <v>0</v>
      </c>
      <c r="I493">
        <v>0</v>
      </c>
      <c r="J493">
        <v>0</v>
      </c>
      <c r="K493">
        <v>0</v>
      </c>
      <c r="L493">
        <v>0</v>
      </c>
      <c r="M493">
        <v>0</v>
      </c>
      <c r="N493">
        <v>0</v>
      </c>
      <c r="O493">
        <v>0</v>
      </c>
      <c r="P493">
        <v>0</v>
      </c>
      <c r="Q493">
        <v>0</v>
      </c>
      <c r="R493">
        <v>0</v>
      </c>
      <c r="S493">
        <v>0</v>
      </c>
      <c r="T493">
        <v>0</v>
      </c>
      <c r="U493">
        <v>0</v>
      </c>
      <c r="V493">
        <v>0</v>
      </c>
      <c r="W493">
        <v>0</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v>0</v>
      </c>
      <c r="AS493">
        <v>0</v>
      </c>
      <c r="AT493">
        <v>0</v>
      </c>
      <c r="AU493">
        <v>0</v>
      </c>
      <c r="AV493">
        <v>0</v>
      </c>
      <c r="AW493">
        <v>0</v>
      </c>
      <c r="AX493">
        <v>0</v>
      </c>
      <c r="AY493">
        <v>0</v>
      </c>
      <c r="AZ493">
        <v>0</v>
      </c>
      <c r="BA493">
        <v>0</v>
      </c>
      <c r="BB493">
        <v>0</v>
      </c>
      <c r="BC493">
        <v>0</v>
      </c>
      <c r="BD493">
        <v>0</v>
      </c>
      <c r="BE493">
        <v>0</v>
      </c>
      <c r="BF493">
        <v>0</v>
      </c>
      <c r="BG493">
        <v>0</v>
      </c>
      <c r="BH493">
        <v>0</v>
      </c>
      <c r="BI493">
        <v>0</v>
      </c>
      <c r="BJ493">
        <v>0</v>
      </c>
      <c r="BK493">
        <v>0</v>
      </c>
      <c r="BL493">
        <v>0</v>
      </c>
      <c r="BM493">
        <v>0</v>
      </c>
      <c r="BN493">
        <v>0</v>
      </c>
      <c r="BO493">
        <v>0</v>
      </c>
      <c r="BP493">
        <v>0</v>
      </c>
      <c r="BQ493">
        <v>0</v>
      </c>
      <c r="BR493">
        <v>0</v>
      </c>
      <c r="BS493">
        <v>0</v>
      </c>
      <c r="BT493">
        <v>0</v>
      </c>
      <c r="BU493">
        <v>0</v>
      </c>
      <c r="BV493">
        <v>0</v>
      </c>
      <c r="BW493">
        <v>0</v>
      </c>
      <c r="BX493">
        <v>0</v>
      </c>
      <c r="BY493">
        <v>0</v>
      </c>
      <c r="BZ493">
        <v>0</v>
      </c>
      <c r="CA493">
        <v>0</v>
      </c>
      <c r="CB493">
        <v>0</v>
      </c>
    </row>
    <row r="494" spans="1:80" x14ac:dyDescent="0.2">
      <c r="A494">
        <v>0</v>
      </c>
      <c r="B494">
        <v>0</v>
      </c>
      <c r="C494">
        <v>0</v>
      </c>
      <c r="D494">
        <v>0</v>
      </c>
      <c r="E494">
        <v>0</v>
      </c>
      <c r="F494">
        <v>0</v>
      </c>
      <c r="G494">
        <v>0</v>
      </c>
      <c r="H494">
        <v>0</v>
      </c>
      <c r="I494">
        <v>0</v>
      </c>
      <c r="J494">
        <v>0</v>
      </c>
      <c r="K494">
        <v>0</v>
      </c>
      <c r="L494">
        <v>0</v>
      </c>
      <c r="M494">
        <v>0</v>
      </c>
      <c r="N494">
        <v>0</v>
      </c>
      <c r="O494">
        <v>0</v>
      </c>
      <c r="P494">
        <v>0</v>
      </c>
      <c r="Q494">
        <v>0</v>
      </c>
      <c r="R494">
        <v>0</v>
      </c>
      <c r="S494">
        <v>0</v>
      </c>
      <c r="T494">
        <v>0</v>
      </c>
      <c r="U494">
        <v>0</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0</v>
      </c>
      <c r="BG494">
        <v>0</v>
      </c>
      <c r="BH494">
        <v>0</v>
      </c>
      <c r="BI494">
        <v>0</v>
      </c>
      <c r="BJ494">
        <v>0</v>
      </c>
      <c r="BK494">
        <v>0</v>
      </c>
      <c r="BL494">
        <v>0</v>
      </c>
      <c r="BM494">
        <v>0</v>
      </c>
      <c r="BN494">
        <v>0</v>
      </c>
      <c r="BO494">
        <v>0</v>
      </c>
      <c r="BP494">
        <v>0</v>
      </c>
      <c r="BQ494">
        <v>0</v>
      </c>
      <c r="BR494">
        <v>0</v>
      </c>
      <c r="BS494">
        <v>0</v>
      </c>
      <c r="BT494">
        <v>0</v>
      </c>
      <c r="BU494">
        <v>0</v>
      </c>
      <c r="BV494">
        <v>0</v>
      </c>
      <c r="BW494">
        <v>0</v>
      </c>
      <c r="BX494">
        <v>0</v>
      </c>
      <c r="BY494">
        <v>0</v>
      </c>
      <c r="BZ494">
        <v>0</v>
      </c>
      <c r="CA494">
        <v>0</v>
      </c>
      <c r="CB494">
        <v>0</v>
      </c>
    </row>
    <row r="495" spans="1:80" x14ac:dyDescent="0.2">
      <c r="A495">
        <v>0</v>
      </c>
      <c r="B495">
        <v>0</v>
      </c>
      <c r="C495">
        <v>0</v>
      </c>
      <c r="D495">
        <v>0</v>
      </c>
      <c r="E495">
        <v>0</v>
      </c>
      <c r="F495">
        <v>0</v>
      </c>
      <c r="G495">
        <v>0</v>
      </c>
      <c r="H495">
        <v>0</v>
      </c>
      <c r="I495">
        <v>0</v>
      </c>
      <c r="J495">
        <v>0</v>
      </c>
      <c r="K495">
        <v>0</v>
      </c>
      <c r="L495">
        <v>0</v>
      </c>
      <c r="M495">
        <v>0</v>
      </c>
      <c r="N495">
        <v>0</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0</v>
      </c>
      <c r="CA495">
        <v>0</v>
      </c>
      <c r="CB495">
        <v>0</v>
      </c>
    </row>
    <row r="496" spans="1:80" x14ac:dyDescent="0.2">
      <c r="A496">
        <v>0</v>
      </c>
      <c r="B496">
        <v>0</v>
      </c>
      <c r="C496">
        <v>0</v>
      </c>
      <c r="D496">
        <v>0</v>
      </c>
      <c r="E496">
        <v>0</v>
      </c>
      <c r="F496">
        <v>0</v>
      </c>
      <c r="G496">
        <v>0</v>
      </c>
      <c r="H496">
        <v>0</v>
      </c>
      <c r="I496">
        <v>0</v>
      </c>
      <c r="J496">
        <v>0</v>
      </c>
      <c r="K496">
        <v>0</v>
      </c>
      <c r="L496">
        <v>0</v>
      </c>
      <c r="M496">
        <v>0</v>
      </c>
      <c r="N496">
        <v>0</v>
      </c>
      <c r="O496">
        <v>0</v>
      </c>
      <c r="P496">
        <v>0</v>
      </c>
      <c r="Q496">
        <v>0</v>
      </c>
      <c r="R496">
        <v>0</v>
      </c>
      <c r="S496">
        <v>0</v>
      </c>
      <c r="T496">
        <v>0</v>
      </c>
      <c r="U496">
        <v>0</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0</v>
      </c>
      <c r="BU496">
        <v>0</v>
      </c>
      <c r="BV496">
        <v>0</v>
      </c>
      <c r="BW496">
        <v>0</v>
      </c>
      <c r="BX496">
        <v>0</v>
      </c>
      <c r="BY496">
        <v>0</v>
      </c>
      <c r="BZ496">
        <v>0</v>
      </c>
      <c r="CA496">
        <v>0</v>
      </c>
      <c r="CB496">
        <v>0</v>
      </c>
    </row>
    <row r="497" spans="1:80" x14ac:dyDescent="0.2">
      <c r="A497">
        <v>0</v>
      </c>
      <c r="B497">
        <v>0</v>
      </c>
      <c r="C497">
        <v>0</v>
      </c>
      <c r="D497">
        <v>0</v>
      </c>
      <c r="E497">
        <v>0</v>
      </c>
      <c r="F497">
        <v>0</v>
      </c>
      <c r="G497">
        <v>0</v>
      </c>
      <c r="H497">
        <v>0</v>
      </c>
      <c r="I497">
        <v>0</v>
      </c>
      <c r="J497">
        <v>0</v>
      </c>
      <c r="K497">
        <v>0</v>
      </c>
      <c r="L497">
        <v>0</v>
      </c>
      <c r="M497">
        <v>0</v>
      </c>
      <c r="N497">
        <v>0</v>
      </c>
      <c r="O497">
        <v>0</v>
      </c>
      <c r="P497">
        <v>0</v>
      </c>
      <c r="Q497">
        <v>0</v>
      </c>
      <c r="R497">
        <v>0</v>
      </c>
      <c r="S497">
        <v>0</v>
      </c>
      <c r="T497">
        <v>0</v>
      </c>
      <c r="U497">
        <v>0</v>
      </c>
      <c r="V497">
        <v>0</v>
      </c>
      <c r="W497">
        <v>0</v>
      </c>
      <c r="X497">
        <v>0</v>
      </c>
      <c r="Y497">
        <v>0</v>
      </c>
      <c r="Z497">
        <v>0</v>
      </c>
      <c r="AA497">
        <v>0</v>
      </c>
      <c r="AB497">
        <v>0</v>
      </c>
      <c r="AC497">
        <v>0</v>
      </c>
      <c r="AD497">
        <v>0</v>
      </c>
      <c r="AE497">
        <v>0</v>
      </c>
      <c r="AF497">
        <v>0</v>
      </c>
      <c r="AG497">
        <v>0</v>
      </c>
      <c r="AH497">
        <v>0</v>
      </c>
      <c r="AI497">
        <v>0</v>
      </c>
      <c r="AJ497">
        <v>0</v>
      </c>
      <c r="AK497">
        <v>0</v>
      </c>
      <c r="AL497">
        <v>0</v>
      </c>
      <c r="AM497">
        <v>0</v>
      </c>
      <c r="AN497">
        <v>0</v>
      </c>
      <c r="AO497">
        <v>0</v>
      </c>
      <c r="AP497">
        <v>0</v>
      </c>
      <c r="AQ497">
        <v>0</v>
      </c>
      <c r="AR497">
        <v>0</v>
      </c>
      <c r="AS497">
        <v>0</v>
      </c>
      <c r="AT497">
        <v>0</v>
      </c>
      <c r="AU497">
        <v>0</v>
      </c>
      <c r="AV497">
        <v>0</v>
      </c>
      <c r="AW497">
        <v>0</v>
      </c>
      <c r="AX497">
        <v>0</v>
      </c>
      <c r="AY497">
        <v>0</v>
      </c>
      <c r="AZ497">
        <v>0</v>
      </c>
      <c r="BA497">
        <v>0</v>
      </c>
      <c r="BB497">
        <v>0</v>
      </c>
      <c r="BC497">
        <v>0</v>
      </c>
      <c r="BD497">
        <v>0</v>
      </c>
      <c r="BE497">
        <v>0</v>
      </c>
      <c r="BF497">
        <v>0</v>
      </c>
      <c r="BG497">
        <v>0</v>
      </c>
      <c r="BH497">
        <v>0</v>
      </c>
      <c r="BI497">
        <v>0</v>
      </c>
      <c r="BJ497">
        <v>0</v>
      </c>
      <c r="BK497">
        <v>0</v>
      </c>
      <c r="BL497">
        <v>0</v>
      </c>
      <c r="BM497">
        <v>0</v>
      </c>
      <c r="BN497">
        <v>0</v>
      </c>
      <c r="BO497">
        <v>0</v>
      </c>
      <c r="BP497">
        <v>0</v>
      </c>
      <c r="BQ497">
        <v>0</v>
      </c>
      <c r="BR497">
        <v>0</v>
      </c>
      <c r="BS497">
        <v>0</v>
      </c>
      <c r="BT497">
        <v>0</v>
      </c>
      <c r="BU497">
        <v>0</v>
      </c>
      <c r="BV497">
        <v>0</v>
      </c>
      <c r="BW497">
        <v>0</v>
      </c>
      <c r="BX497">
        <v>0</v>
      </c>
      <c r="BY497">
        <v>0</v>
      </c>
      <c r="BZ497">
        <v>0</v>
      </c>
      <c r="CA497">
        <v>0</v>
      </c>
      <c r="CB497">
        <v>0</v>
      </c>
    </row>
    <row r="498" spans="1:80" x14ac:dyDescent="0.2">
      <c r="A498">
        <v>0</v>
      </c>
      <c r="B498">
        <v>0</v>
      </c>
      <c r="C498">
        <v>0</v>
      </c>
      <c r="D498">
        <v>0</v>
      </c>
      <c r="E498">
        <v>0</v>
      </c>
      <c r="F498">
        <v>0</v>
      </c>
      <c r="G498">
        <v>0</v>
      </c>
      <c r="H498">
        <v>0</v>
      </c>
      <c r="I498">
        <v>0</v>
      </c>
      <c r="J498">
        <v>0</v>
      </c>
      <c r="K498">
        <v>0</v>
      </c>
      <c r="L498">
        <v>0</v>
      </c>
      <c r="M498">
        <v>0</v>
      </c>
      <c r="N498">
        <v>0</v>
      </c>
      <c r="O498">
        <v>0</v>
      </c>
      <c r="P498">
        <v>0</v>
      </c>
      <c r="Q498">
        <v>0</v>
      </c>
      <c r="R498">
        <v>0</v>
      </c>
      <c r="S498">
        <v>0</v>
      </c>
      <c r="T498">
        <v>0</v>
      </c>
      <c r="U498">
        <v>0</v>
      </c>
      <c r="V498">
        <v>0</v>
      </c>
      <c r="W498">
        <v>0</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v>0</v>
      </c>
      <c r="BN498">
        <v>0</v>
      </c>
      <c r="BO498">
        <v>0</v>
      </c>
      <c r="BP498">
        <v>0</v>
      </c>
      <c r="BQ498">
        <v>0</v>
      </c>
      <c r="BR498">
        <v>0</v>
      </c>
      <c r="BS498">
        <v>0</v>
      </c>
      <c r="BT498">
        <v>0</v>
      </c>
      <c r="BU498">
        <v>0</v>
      </c>
      <c r="BV498">
        <v>0</v>
      </c>
      <c r="BW498">
        <v>0</v>
      </c>
      <c r="BX498">
        <v>0</v>
      </c>
      <c r="BY498">
        <v>0</v>
      </c>
      <c r="BZ498">
        <v>0</v>
      </c>
      <c r="CA498">
        <v>0</v>
      </c>
      <c r="CB498">
        <v>0</v>
      </c>
    </row>
    <row r="499" spans="1:80" x14ac:dyDescent="0.2">
      <c r="A499">
        <v>0</v>
      </c>
      <c r="B499">
        <v>0</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v>0</v>
      </c>
      <c r="BN499">
        <v>0</v>
      </c>
      <c r="BO499">
        <v>0</v>
      </c>
      <c r="BP499">
        <v>0</v>
      </c>
      <c r="BQ499">
        <v>0</v>
      </c>
      <c r="BR499">
        <v>0</v>
      </c>
      <c r="BS499">
        <v>0</v>
      </c>
      <c r="BT499">
        <v>0</v>
      </c>
      <c r="BU499">
        <v>0</v>
      </c>
      <c r="BV499">
        <v>0</v>
      </c>
      <c r="BW499">
        <v>0</v>
      </c>
      <c r="BX499">
        <v>0</v>
      </c>
      <c r="BY499">
        <v>0</v>
      </c>
      <c r="BZ499">
        <v>0</v>
      </c>
      <c r="CA499">
        <v>0</v>
      </c>
      <c r="CB499">
        <v>0</v>
      </c>
    </row>
    <row r="500" spans="1:80" x14ac:dyDescent="0.2">
      <c r="A500">
        <v>0</v>
      </c>
      <c r="B500">
        <v>0</v>
      </c>
      <c r="C500">
        <v>0</v>
      </c>
      <c r="D500">
        <v>0</v>
      </c>
      <c r="E500">
        <v>0</v>
      </c>
      <c r="F500">
        <v>0</v>
      </c>
      <c r="G500">
        <v>0</v>
      </c>
      <c r="H500">
        <v>0</v>
      </c>
      <c r="I500">
        <v>0</v>
      </c>
      <c r="J500">
        <v>0</v>
      </c>
      <c r="K500">
        <v>0</v>
      </c>
      <c r="L500">
        <v>0</v>
      </c>
      <c r="M500">
        <v>0</v>
      </c>
      <c r="N500">
        <v>0</v>
      </c>
      <c r="O500">
        <v>0</v>
      </c>
      <c r="P500">
        <v>0</v>
      </c>
      <c r="Q500">
        <v>0</v>
      </c>
      <c r="R500">
        <v>0</v>
      </c>
      <c r="S500">
        <v>0</v>
      </c>
      <c r="T500">
        <v>0</v>
      </c>
      <c r="U500">
        <v>0</v>
      </c>
      <c r="V500">
        <v>0</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v>0</v>
      </c>
      <c r="BN500">
        <v>0</v>
      </c>
      <c r="BO500">
        <v>0</v>
      </c>
      <c r="BP500">
        <v>0</v>
      </c>
      <c r="BQ500">
        <v>0</v>
      </c>
      <c r="BR500">
        <v>0</v>
      </c>
      <c r="BS500">
        <v>0</v>
      </c>
      <c r="BT500">
        <v>0</v>
      </c>
      <c r="BU500">
        <v>0</v>
      </c>
      <c r="BV500">
        <v>0</v>
      </c>
      <c r="BW500">
        <v>0</v>
      </c>
      <c r="BX500">
        <v>0</v>
      </c>
      <c r="BY500">
        <v>0</v>
      </c>
      <c r="BZ500">
        <v>0</v>
      </c>
      <c r="CA500">
        <v>0</v>
      </c>
      <c r="CB500">
        <v>0</v>
      </c>
    </row>
    <row r="502" spans="1:80" x14ac:dyDescent="0.2">
      <c r="A502" s="11" t="s">
        <v>54</v>
      </c>
    </row>
    <row r="503" spans="1:80" x14ac:dyDescent="0.2">
      <c r="A503">
        <f t="array" ref="A503:CB582">MMULT(_motor!$A$421:$CB$500,_motor!$A$93:$CB$172)</f>
        <v>0</v>
      </c>
      <c r="B503">
        <v>0</v>
      </c>
      <c r="C503">
        <v>0</v>
      </c>
      <c r="D503">
        <v>0</v>
      </c>
      <c r="E503">
        <v>0</v>
      </c>
      <c r="F503">
        <v>0</v>
      </c>
      <c r="G503">
        <v>0</v>
      </c>
      <c r="H503">
        <v>0</v>
      </c>
      <c r="I503">
        <v>0</v>
      </c>
      <c r="J503">
        <v>0</v>
      </c>
      <c r="K503">
        <v>0</v>
      </c>
      <c r="L503">
        <v>0</v>
      </c>
      <c r="M503">
        <v>0</v>
      </c>
      <c r="N503">
        <v>0</v>
      </c>
      <c r="O503">
        <v>0</v>
      </c>
      <c r="P503">
        <v>0</v>
      </c>
      <c r="Q503">
        <v>0</v>
      </c>
      <c r="R503">
        <v>0</v>
      </c>
      <c r="S503">
        <v>0</v>
      </c>
      <c r="T503">
        <v>0</v>
      </c>
      <c r="U503">
        <v>0</v>
      </c>
      <c r="V503">
        <v>0</v>
      </c>
      <c r="W503">
        <v>0</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v>0</v>
      </c>
      <c r="BA503">
        <v>0</v>
      </c>
      <c r="BB503">
        <v>0</v>
      </c>
      <c r="BC503">
        <v>0</v>
      </c>
      <c r="BD503">
        <v>0</v>
      </c>
      <c r="BE503">
        <v>0</v>
      </c>
      <c r="BF503">
        <v>0</v>
      </c>
      <c r="BG503">
        <v>0</v>
      </c>
      <c r="BH503">
        <v>0</v>
      </c>
      <c r="BI503">
        <v>0</v>
      </c>
      <c r="BJ503">
        <v>0</v>
      </c>
      <c r="BK503">
        <v>0</v>
      </c>
      <c r="BL503">
        <v>0</v>
      </c>
      <c r="BM503">
        <v>0</v>
      </c>
      <c r="BN503">
        <v>0</v>
      </c>
      <c r="BO503">
        <v>0</v>
      </c>
      <c r="BP503">
        <v>0</v>
      </c>
      <c r="BQ503">
        <v>0</v>
      </c>
      <c r="BR503">
        <v>0</v>
      </c>
      <c r="BS503">
        <v>0</v>
      </c>
      <c r="BT503">
        <v>0</v>
      </c>
      <c r="BU503">
        <v>0</v>
      </c>
      <c r="BV503">
        <v>0</v>
      </c>
      <c r="BW503">
        <v>0</v>
      </c>
      <c r="BX503">
        <v>0</v>
      </c>
      <c r="BY503">
        <v>0</v>
      </c>
      <c r="BZ503">
        <v>0</v>
      </c>
      <c r="CA503">
        <v>0</v>
      </c>
      <c r="CB503">
        <v>0</v>
      </c>
    </row>
    <row r="504" spans="1:80" x14ac:dyDescent="0.2">
      <c r="A504">
        <v>0</v>
      </c>
      <c r="B504">
        <v>0</v>
      </c>
      <c r="C504">
        <v>0</v>
      </c>
      <c r="D504">
        <v>0</v>
      </c>
      <c r="E504">
        <v>0</v>
      </c>
      <c r="F504">
        <v>0</v>
      </c>
      <c r="G504">
        <v>0</v>
      </c>
      <c r="H504">
        <v>0</v>
      </c>
      <c r="I504">
        <v>0</v>
      </c>
      <c r="J504">
        <v>0</v>
      </c>
      <c r="K504">
        <v>0</v>
      </c>
      <c r="L504">
        <v>0</v>
      </c>
      <c r="M504">
        <v>0</v>
      </c>
      <c r="N504">
        <v>0</v>
      </c>
      <c r="O504">
        <v>0</v>
      </c>
      <c r="P504">
        <v>0</v>
      </c>
      <c r="Q504">
        <v>0</v>
      </c>
      <c r="R504">
        <v>0</v>
      </c>
      <c r="S504">
        <v>0</v>
      </c>
      <c r="T504">
        <v>0</v>
      </c>
      <c r="U504">
        <v>0</v>
      </c>
      <c r="V504">
        <v>0</v>
      </c>
      <c r="W504">
        <v>0</v>
      </c>
      <c r="X504">
        <v>0</v>
      </c>
      <c r="Y504">
        <v>0</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v>0</v>
      </c>
      <c r="AS504">
        <v>0</v>
      </c>
      <c r="AT504">
        <v>0</v>
      </c>
      <c r="AU504">
        <v>0</v>
      </c>
      <c r="AV504">
        <v>0</v>
      </c>
      <c r="AW504">
        <v>0</v>
      </c>
      <c r="AX504">
        <v>0</v>
      </c>
      <c r="AY504">
        <v>0</v>
      </c>
      <c r="AZ504">
        <v>0</v>
      </c>
      <c r="BA504">
        <v>0</v>
      </c>
      <c r="BB504">
        <v>0</v>
      </c>
      <c r="BC504">
        <v>0</v>
      </c>
      <c r="BD504">
        <v>0</v>
      </c>
      <c r="BE504">
        <v>0</v>
      </c>
      <c r="BF504">
        <v>0</v>
      </c>
      <c r="BG504">
        <v>0</v>
      </c>
      <c r="BH504">
        <v>0</v>
      </c>
      <c r="BI504">
        <v>0</v>
      </c>
      <c r="BJ504">
        <v>0</v>
      </c>
      <c r="BK504">
        <v>0</v>
      </c>
      <c r="BL504">
        <v>0</v>
      </c>
      <c r="BM504">
        <v>0</v>
      </c>
      <c r="BN504">
        <v>0</v>
      </c>
      <c r="BO504">
        <v>0</v>
      </c>
      <c r="BP504">
        <v>0</v>
      </c>
      <c r="BQ504">
        <v>0</v>
      </c>
      <c r="BR504">
        <v>0</v>
      </c>
      <c r="BS504">
        <v>0</v>
      </c>
      <c r="BT504">
        <v>0</v>
      </c>
      <c r="BU504">
        <v>0</v>
      </c>
      <c r="BV504">
        <v>0</v>
      </c>
      <c r="BW504">
        <v>0</v>
      </c>
      <c r="BX504">
        <v>0</v>
      </c>
      <c r="BY504">
        <v>0</v>
      </c>
      <c r="BZ504">
        <v>0</v>
      </c>
      <c r="CA504">
        <v>0</v>
      </c>
      <c r="CB504">
        <v>0</v>
      </c>
    </row>
    <row r="505" spans="1:80" x14ac:dyDescent="0.2">
      <c r="A505">
        <v>0</v>
      </c>
      <c r="B505">
        <v>0</v>
      </c>
      <c r="C505">
        <v>0</v>
      </c>
      <c r="D505">
        <v>0</v>
      </c>
      <c r="E505">
        <v>0</v>
      </c>
      <c r="F505">
        <v>0</v>
      </c>
      <c r="G505">
        <v>0</v>
      </c>
      <c r="H505">
        <v>0</v>
      </c>
      <c r="I505">
        <v>0</v>
      </c>
      <c r="J505">
        <v>0</v>
      </c>
      <c r="K505">
        <v>0</v>
      </c>
      <c r="L505">
        <v>0</v>
      </c>
      <c r="M505">
        <v>0</v>
      </c>
      <c r="N505">
        <v>0</v>
      </c>
      <c r="O505">
        <v>0</v>
      </c>
      <c r="P505">
        <v>0</v>
      </c>
      <c r="Q505">
        <v>0</v>
      </c>
      <c r="R505">
        <v>0</v>
      </c>
      <c r="S505">
        <v>0</v>
      </c>
      <c r="T505">
        <v>0</v>
      </c>
      <c r="U505">
        <v>0</v>
      </c>
      <c r="V505">
        <v>0</v>
      </c>
      <c r="W505">
        <v>0</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v>
      </c>
      <c r="BH505">
        <v>0</v>
      </c>
      <c r="BI505">
        <v>0</v>
      </c>
      <c r="BJ505">
        <v>0</v>
      </c>
      <c r="BK505">
        <v>0</v>
      </c>
      <c r="BL505">
        <v>0</v>
      </c>
      <c r="BM505">
        <v>0</v>
      </c>
      <c r="BN505">
        <v>0</v>
      </c>
      <c r="BO505">
        <v>0</v>
      </c>
      <c r="BP505">
        <v>0</v>
      </c>
      <c r="BQ505">
        <v>0</v>
      </c>
      <c r="BR505">
        <v>0</v>
      </c>
      <c r="BS505">
        <v>0</v>
      </c>
      <c r="BT505">
        <v>0</v>
      </c>
      <c r="BU505">
        <v>0</v>
      </c>
      <c r="BV505">
        <v>0</v>
      </c>
      <c r="BW505">
        <v>0</v>
      </c>
      <c r="BX505">
        <v>0</v>
      </c>
      <c r="BY505">
        <v>0</v>
      </c>
      <c r="BZ505">
        <v>0</v>
      </c>
      <c r="CA505">
        <v>0</v>
      </c>
      <c r="CB505">
        <v>0</v>
      </c>
    </row>
    <row r="506" spans="1:80" x14ac:dyDescent="0.2">
      <c r="A506">
        <v>0</v>
      </c>
      <c r="B506">
        <v>0</v>
      </c>
      <c r="C506">
        <v>0</v>
      </c>
      <c r="D506">
        <v>0</v>
      </c>
      <c r="E506">
        <v>0</v>
      </c>
      <c r="F506">
        <v>0</v>
      </c>
      <c r="G506">
        <v>0</v>
      </c>
      <c r="H506">
        <v>0</v>
      </c>
      <c r="I506">
        <v>0</v>
      </c>
      <c r="J506">
        <v>0</v>
      </c>
      <c r="K506">
        <v>0</v>
      </c>
      <c r="L506">
        <v>0</v>
      </c>
      <c r="M506">
        <v>0</v>
      </c>
      <c r="N506">
        <v>0</v>
      </c>
      <c r="O506">
        <v>0</v>
      </c>
      <c r="P506">
        <v>0</v>
      </c>
      <c r="Q506">
        <v>0</v>
      </c>
      <c r="R506">
        <v>0</v>
      </c>
      <c r="S506">
        <v>0</v>
      </c>
      <c r="T506">
        <v>0</v>
      </c>
      <c r="U506">
        <v>0</v>
      </c>
      <c r="V506">
        <v>0</v>
      </c>
      <c r="W506">
        <v>0</v>
      </c>
      <c r="X506">
        <v>0</v>
      </c>
      <c r="Y506">
        <v>0</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v>0</v>
      </c>
      <c r="AS506">
        <v>0</v>
      </c>
      <c r="AT506">
        <v>0</v>
      </c>
      <c r="AU506">
        <v>0</v>
      </c>
      <c r="AV506">
        <v>0</v>
      </c>
      <c r="AW506">
        <v>0</v>
      </c>
      <c r="AX506">
        <v>0</v>
      </c>
      <c r="AY506">
        <v>0</v>
      </c>
      <c r="AZ506">
        <v>0</v>
      </c>
      <c r="BA506">
        <v>0</v>
      </c>
      <c r="BB506">
        <v>0</v>
      </c>
      <c r="BC506">
        <v>0</v>
      </c>
      <c r="BD506">
        <v>0</v>
      </c>
      <c r="BE506">
        <v>0</v>
      </c>
      <c r="BF506">
        <v>0</v>
      </c>
      <c r="BG506">
        <v>0</v>
      </c>
      <c r="BH506">
        <v>0</v>
      </c>
      <c r="BI506">
        <v>0</v>
      </c>
      <c r="BJ506">
        <v>0</v>
      </c>
      <c r="BK506">
        <v>0</v>
      </c>
      <c r="BL506">
        <v>0</v>
      </c>
      <c r="BM506">
        <v>0</v>
      </c>
      <c r="BN506">
        <v>0</v>
      </c>
      <c r="BO506">
        <v>0</v>
      </c>
      <c r="BP506">
        <v>0</v>
      </c>
      <c r="BQ506">
        <v>0</v>
      </c>
      <c r="BR506">
        <v>0</v>
      </c>
      <c r="BS506">
        <v>0</v>
      </c>
      <c r="BT506">
        <v>0</v>
      </c>
      <c r="BU506">
        <v>0</v>
      </c>
      <c r="BV506">
        <v>0</v>
      </c>
      <c r="BW506">
        <v>0</v>
      </c>
      <c r="BX506">
        <v>0</v>
      </c>
      <c r="BY506">
        <v>0</v>
      </c>
      <c r="BZ506">
        <v>0</v>
      </c>
      <c r="CA506">
        <v>0</v>
      </c>
      <c r="CB506">
        <v>0</v>
      </c>
    </row>
    <row r="507" spans="1:80" x14ac:dyDescent="0.2">
      <c r="A507">
        <v>0</v>
      </c>
      <c r="B507">
        <v>0</v>
      </c>
      <c r="C507">
        <v>0</v>
      </c>
      <c r="D507">
        <v>0</v>
      </c>
      <c r="E507">
        <v>0</v>
      </c>
      <c r="F507">
        <v>0</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v>0</v>
      </c>
      <c r="BN507">
        <v>0</v>
      </c>
      <c r="BO507">
        <v>0</v>
      </c>
      <c r="BP507">
        <v>0</v>
      </c>
      <c r="BQ507">
        <v>0</v>
      </c>
      <c r="BR507">
        <v>0</v>
      </c>
      <c r="BS507">
        <v>0</v>
      </c>
      <c r="BT507">
        <v>0</v>
      </c>
      <c r="BU507">
        <v>0</v>
      </c>
      <c r="BV507">
        <v>0</v>
      </c>
      <c r="BW507">
        <v>0</v>
      </c>
      <c r="BX507">
        <v>0</v>
      </c>
      <c r="BY507">
        <v>0</v>
      </c>
      <c r="BZ507">
        <v>0</v>
      </c>
      <c r="CA507">
        <v>0</v>
      </c>
      <c r="CB507">
        <v>0</v>
      </c>
    </row>
    <row r="508" spans="1:80" x14ac:dyDescent="0.2">
      <c r="A508">
        <v>0</v>
      </c>
      <c r="B508">
        <v>0</v>
      </c>
      <c r="C508">
        <v>0</v>
      </c>
      <c r="D508">
        <v>0</v>
      </c>
      <c r="E508">
        <v>0</v>
      </c>
      <c r="F508">
        <v>0</v>
      </c>
      <c r="G508">
        <v>0</v>
      </c>
      <c r="H508">
        <v>0</v>
      </c>
      <c r="I508">
        <v>0</v>
      </c>
      <c r="J508">
        <v>0</v>
      </c>
      <c r="K508">
        <v>0</v>
      </c>
      <c r="L508">
        <v>0</v>
      </c>
      <c r="M508">
        <v>0</v>
      </c>
      <c r="N508">
        <v>0</v>
      </c>
      <c r="O508">
        <v>0</v>
      </c>
      <c r="P508">
        <v>0</v>
      </c>
      <c r="Q508">
        <v>0</v>
      </c>
      <c r="R508">
        <v>0</v>
      </c>
      <c r="S508">
        <v>0</v>
      </c>
      <c r="T508">
        <v>0</v>
      </c>
      <c r="U508">
        <v>0</v>
      </c>
      <c r="V508">
        <v>0</v>
      </c>
      <c r="W508">
        <v>0</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c r="AT508">
        <v>0</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v>0</v>
      </c>
      <c r="BN508">
        <v>0</v>
      </c>
      <c r="BO508">
        <v>0</v>
      </c>
      <c r="BP508">
        <v>0</v>
      </c>
      <c r="BQ508">
        <v>0</v>
      </c>
      <c r="BR508">
        <v>0</v>
      </c>
      <c r="BS508">
        <v>0</v>
      </c>
      <c r="BT508">
        <v>0</v>
      </c>
      <c r="BU508">
        <v>0</v>
      </c>
      <c r="BV508">
        <v>0</v>
      </c>
      <c r="BW508">
        <v>0</v>
      </c>
      <c r="BX508">
        <v>0</v>
      </c>
      <c r="BY508">
        <v>0</v>
      </c>
      <c r="BZ508">
        <v>0</v>
      </c>
      <c r="CA508">
        <v>0</v>
      </c>
      <c r="CB508">
        <v>0</v>
      </c>
    </row>
    <row r="509" spans="1:80" x14ac:dyDescent="0.2">
      <c r="A509">
        <v>0</v>
      </c>
      <c r="B509">
        <v>0</v>
      </c>
      <c r="C509">
        <v>0</v>
      </c>
      <c r="D509">
        <v>0</v>
      </c>
      <c r="E509">
        <v>0</v>
      </c>
      <c r="F509">
        <v>0</v>
      </c>
      <c r="G509">
        <v>0</v>
      </c>
      <c r="H509">
        <v>0</v>
      </c>
      <c r="I509">
        <v>0</v>
      </c>
      <c r="J509">
        <v>0</v>
      </c>
      <c r="K509">
        <v>0</v>
      </c>
      <c r="L509">
        <v>0</v>
      </c>
      <c r="M509">
        <v>0</v>
      </c>
      <c r="N509">
        <v>0</v>
      </c>
      <c r="O509">
        <v>0</v>
      </c>
      <c r="P509">
        <v>0</v>
      </c>
      <c r="Q509">
        <v>0</v>
      </c>
      <c r="R509">
        <v>0</v>
      </c>
      <c r="S509">
        <v>0</v>
      </c>
      <c r="T509">
        <v>0</v>
      </c>
      <c r="U509">
        <v>0</v>
      </c>
      <c r="V509">
        <v>0</v>
      </c>
      <c r="W509">
        <v>0</v>
      </c>
      <c r="X509">
        <v>0</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v>0</v>
      </c>
      <c r="AT509">
        <v>0</v>
      </c>
      <c r="AU509">
        <v>0</v>
      </c>
      <c r="AV509">
        <v>0</v>
      </c>
      <c r="AW509">
        <v>0</v>
      </c>
      <c r="AX509">
        <v>0</v>
      </c>
      <c r="AY509">
        <v>0</v>
      </c>
      <c r="AZ509">
        <v>0</v>
      </c>
      <c r="BA509">
        <v>0</v>
      </c>
      <c r="BB509">
        <v>0</v>
      </c>
      <c r="BC509">
        <v>0</v>
      </c>
      <c r="BD509">
        <v>0</v>
      </c>
      <c r="BE509">
        <v>0</v>
      </c>
      <c r="BF509">
        <v>0</v>
      </c>
      <c r="BG509">
        <v>0</v>
      </c>
      <c r="BH509">
        <v>0</v>
      </c>
      <c r="BI509">
        <v>0</v>
      </c>
      <c r="BJ509">
        <v>0</v>
      </c>
      <c r="BK509">
        <v>0</v>
      </c>
      <c r="BL509">
        <v>0</v>
      </c>
      <c r="BM509">
        <v>0</v>
      </c>
      <c r="BN509">
        <v>0</v>
      </c>
      <c r="BO509">
        <v>0</v>
      </c>
      <c r="BP509">
        <v>0</v>
      </c>
      <c r="BQ509">
        <v>0</v>
      </c>
      <c r="BR509">
        <v>0</v>
      </c>
      <c r="BS509">
        <v>0</v>
      </c>
      <c r="BT509">
        <v>0</v>
      </c>
      <c r="BU509">
        <v>0</v>
      </c>
      <c r="BV509">
        <v>0</v>
      </c>
      <c r="BW509">
        <v>0</v>
      </c>
      <c r="BX509">
        <v>0</v>
      </c>
      <c r="BY509">
        <v>0</v>
      </c>
      <c r="BZ509">
        <v>0</v>
      </c>
      <c r="CA509">
        <v>0</v>
      </c>
      <c r="CB509">
        <v>0</v>
      </c>
    </row>
    <row r="510" spans="1:80" x14ac:dyDescent="0.2">
      <c r="A510">
        <v>0</v>
      </c>
      <c r="B510">
        <v>0</v>
      </c>
      <c r="C510">
        <v>0</v>
      </c>
      <c r="D510">
        <v>0</v>
      </c>
      <c r="E510">
        <v>0</v>
      </c>
      <c r="F510">
        <v>0</v>
      </c>
      <c r="G510">
        <v>0</v>
      </c>
      <c r="H510">
        <v>0</v>
      </c>
      <c r="I510">
        <v>0</v>
      </c>
      <c r="J510">
        <v>0</v>
      </c>
      <c r="K510">
        <v>0</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v>
      </c>
      <c r="AS510">
        <v>0</v>
      </c>
      <c r="AT510">
        <v>0</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0</v>
      </c>
      <c r="BU510">
        <v>0</v>
      </c>
      <c r="BV510">
        <v>0</v>
      </c>
      <c r="BW510">
        <v>0</v>
      </c>
      <c r="BX510">
        <v>0</v>
      </c>
      <c r="BY510">
        <v>0</v>
      </c>
      <c r="BZ510">
        <v>0</v>
      </c>
      <c r="CA510">
        <v>0</v>
      </c>
      <c r="CB510">
        <v>0</v>
      </c>
    </row>
    <row r="511" spans="1:80" x14ac:dyDescent="0.2">
      <c r="A511">
        <v>0</v>
      </c>
      <c r="B511">
        <v>0</v>
      </c>
      <c r="C511">
        <v>0</v>
      </c>
      <c r="D511">
        <v>0</v>
      </c>
      <c r="E511">
        <v>0</v>
      </c>
      <c r="F511">
        <v>0</v>
      </c>
      <c r="G511">
        <v>0</v>
      </c>
      <c r="H511">
        <v>0</v>
      </c>
      <c r="I511">
        <v>0</v>
      </c>
      <c r="J511">
        <v>0</v>
      </c>
      <c r="K511">
        <v>0</v>
      </c>
      <c r="L511">
        <v>0</v>
      </c>
      <c r="M511">
        <v>0</v>
      </c>
      <c r="N511">
        <v>0</v>
      </c>
      <c r="O511">
        <v>0</v>
      </c>
      <c r="P511">
        <v>0</v>
      </c>
      <c r="Q511">
        <v>0</v>
      </c>
      <c r="R511">
        <v>0</v>
      </c>
      <c r="S511">
        <v>0</v>
      </c>
      <c r="T511">
        <v>0</v>
      </c>
      <c r="U511">
        <v>0</v>
      </c>
      <c r="V511">
        <v>0</v>
      </c>
      <c r="W511">
        <v>0</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v>0</v>
      </c>
      <c r="AS511">
        <v>0</v>
      </c>
      <c r="AT511">
        <v>0</v>
      </c>
      <c r="AU511">
        <v>0</v>
      </c>
      <c r="AV511">
        <v>0</v>
      </c>
      <c r="AW511">
        <v>0</v>
      </c>
      <c r="AX511">
        <v>0</v>
      </c>
      <c r="AY511">
        <v>0</v>
      </c>
      <c r="AZ511">
        <v>0</v>
      </c>
      <c r="BA511">
        <v>0</v>
      </c>
      <c r="BB511">
        <v>0</v>
      </c>
      <c r="BC511">
        <v>0</v>
      </c>
      <c r="BD511">
        <v>0</v>
      </c>
      <c r="BE511">
        <v>0</v>
      </c>
      <c r="BF511">
        <v>0</v>
      </c>
      <c r="BG511">
        <v>0</v>
      </c>
      <c r="BH511">
        <v>0</v>
      </c>
      <c r="BI511">
        <v>0</v>
      </c>
      <c r="BJ511">
        <v>0</v>
      </c>
      <c r="BK511">
        <v>0</v>
      </c>
      <c r="BL511">
        <v>0</v>
      </c>
      <c r="BM511">
        <v>0</v>
      </c>
      <c r="BN511">
        <v>0</v>
      </c>
      <c r="BO511">
        <v>0</v>
      </c>
      <c r="BP511">
        <v>0</v>
      </c>
      <c r="BQ511">
        <v>0</v>
      </c>
      <c r="BR511">
        <v>0</v>
      </c>
      <c r="BS511">
        <v>0</v>
      </c>
      <c r="BT511">
        <v>0</v>
      </c>
      <c r="BU511">
        <v>0</v>
      </c>
      <c r="BV511">
        <v>0</v>
      </c>
      <c r="BW511">
        <v>0</v>
      </c>
      <c r="BX511">
        <v>0</v>
      </c>
      <c r="BY511">
        <v>0</v>
      </c>
      <c r="BZ511">
        <v>0</v>
      </c>
      <c r="CA511">
        <v>0</v>
      </c>
      <c r="CB511">
        <v>0</v>
      </c>
    </row>
    <row r="512" spans="1:80" x14ac:dyDescent="0.2">
      <c r="A512">
        <v>0</v>
      </c>
      <c r="B512">
        <v>0</v>
      </c>
      <c r="C512">
        <v>0</v>
      </c>
      <c r="D512">
        <v>0</v>
      </c>
      <c r="E512">
        <v>0</v>
      </c>
      <c r="F512">
        <v>0</v>
      </c>
      <c r="G512">
        <v>0</v>
      </c>
      <c r="H512">
        <v>0</v>
      </c>
      <c r="I512">
        <v>0</v>
      </c>
      <c r="J512">
        <v>0</v>
      </c>
      <c r="K512">
        <v>0</v>
      </c>
      <c r="L512">
        <v>0</v>
      </c>
      <c r="M512">
        <v>0</v>
      </c>
      <c r="N512">
        <v>0</v>
      </c>
      <c r="O512">
        <v>0</v>
      </c>
      <c r="P512">
        <v>0</v>
      </c>
      <c r="Q512">
        <v>0</v>
      </c>
      <c r="R512">
        <v>0</v>
      </c>
      <c r="S512">
        <v>0</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v>0</v>
      </c>
      <c r="AY512">
        <v>0</v>
      </c>
      <c r="AZ512">
        <v>0</v>
      </c>
      <c r="BA512">
        <v>0</v>
      </c>
      <c r="BB512">
        <v>0</v>
      </c>
      <c r="BC512">
        <v>0</v>
      </c>
      <c r="BD512">
        <v>0</v>
      </c>
      <c r="BE512">
        <v>0</v>
      </c>
      <c r="BF512">
        <v>0</v>
      </c>
      <c r="BG512">
        <v>0</v>
      </c>
      <c r="BH512">
        <v>0</v>
      </c>
      <c r="BI512">
        <v>0</v>
      </c>
      <c r="BJ512">
        <v>0</v>
      </c>
      <c r="BK512">
        <v>0</v>
      </c>
      <c r="BL512">
        <v>0</v>
      </c>
      <c r="BM512">
        <v>0</v>
      </c>
      <c r="BN512">
        <v>0</v>
      </c>
      <c r="BO512">
        <v>0</v>
      </c>
      <c r="BP512">
        <v>0</v>
      </c>
      <c r="BQ512">
        <v>0</v>
      </c>
      <c r="BR512">
        <v>0</v>
      </c>
      <c r="BS512">
        <v>0</v>
      </c>
      <c r="BT512">
        <v>0</v>
      </c>
      <c r="BU512">
        <v>0</v>
      </c>
      <c r="BV512">
        <v>0</v>
      </c>
      <c r="BW512">
        <v>0</v>
      </c>
      <c r="BX512">
        <v>0</v>
      </c>
      <c r="BY512">
        <v>0</v>
      </c>
      <c r="BZ512">
        <v>0</v>
      </c>
      <c r="CA512">
        <v>0</v>
      </c>
      <c r="CB512">
        <v>0</v>
      </c>
    </row>
    <row r="513" spans="1:80" x14ac:dyDescent="0.2">
      <c r="A513">
        <v>0</v>
      </c>
      <c r="B513">
        <v>0</v>
      </c>
      <c r="C513">
        <v>0</v>
      </c>
      <c r="D513">
        <v>0</v>
      </c>
      <c r="E513">
        <v>0</v>
      </c>
      <c r="F513">
        <v>0</v>
      </c>
      <c r="G513">
        <v>0</v>
      </c>
      <c r="H513">
        <v>0</v>
      </c>
      <c r="I513">
        <v>0</v>
      </c>
      <c r="J513">
        <v>0</v>
      </c>
      <c r="K513">
        <v>0</v>
      </c>
      <c r="L513">
        <v>0</v>
      </c>
      <c r="M513">
        <v>0</v>
      </c>
      <c r="N513">
        <v>0</v>
      </c>
      <c r="O513">
        <v>0</v>
      </c>
      <c r="P513">
        <v>0</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v>
      </c>
      <c r="BC513">
        <v>0</v>
      </c>
      <c r="BD513">
        <v>0</v>
      </c>
      <c r="BE513">
        <v>0</v>
      </c>
      <c r="BF513">
        <v>0</v>
      </c>
      <c r="BG513">
        <v>0</v>
      </c>
      <c r="BH513">
        <v>0</v>
      </c>
      <c r="BI513">
        <v>0</v>
      </c>
      <c r="BJ513">
        <v>0</v>
      </c>
      <c r="BK513">
        <v>0</v>
      </c>
      <c r="BL513">
        <v>0</v>
      </c>
      <c r="BM513">
        <v>0</v>
      </c>
      <c r="BN513">
        <v>0</v>
      </c>
      <c r="BO513">
        <v>0</v>
      </c>
      <c r="BP513">
        <v>0</v>
      </c>
      <c r="BQ513">
        <v>0</v>
      </c>
      <c r="BR513">
        <v>0</v>
      </c>
      <c r="BS513">
        <v>0</v>
      </c>
      <c r="BT513">
        <v>0</v>
      </c>
      <c r="BU513">
        <v>0</v>
      </c>
      <c r="BV513">
        <v>0</v>
      </c>
      <c r="BW513">
        <v>0</v>
      </c>
      <c r="BX513">
        <v>0</v>
      </c>
      <c r="BY513">
        <v>0</v>
      </c>
      <c r="BZ513">
        <v>0</v>
      </c>
      <c r="CA513">
        <v>0</v>
      </c>
      <c r="CB513">
        <v>0</v>
      </c>
    </row>
    <row r="514" spans="1:80" x14ac:dyDescent="0.2">
      <c r="A514">
        <v>0</v>
      </c>
      <c r="B514">
        <v>0</v>
      </c>
      <c r="C514">
        <v>0</v>
      </c>
      <c r="D514">
        <v>0</v>
      </c>
      <c r="E514">
        <v>0</v>
      </c>
      <c r="F514">
        <v>0</v>
      </c>
      <c r="G514">
        <v>0</v>
      </c>
      <c r="H514">
        <v>0</v>
      </c>
      <c r="I514">
        <v>0</v>
      </c>
      <c r="J514">
        <v>0</v>
      </c>
      <c r="K514">
        <v>0</v>
      </c>
      <c r="L514">
        <v>0</v>
      </c>
      <c r="M514">
        <v>0</v>
      </c>
      <c r="N514">
        <v>0</v>
      </c>
      <c r="O514">
        <v>0</v>
      </c>
      <c r="P514">
        <v>0</v>
      </c>
      <c r="Q514">
        <v>0</v>
      </c>
      <c r="R514">
        <v>0</v>
      </c>
      <c r="S514">
        <v>0</v>
      </c>
      <c r="T514">
        <v>0</v>
      </c>
      <c r="U514">
        <v>0</v>
      </c>
      <c r="V514">
        <v>0</v>
      </c>
      <c r="W514">
        <v>0</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v>0</v>
      </c>
      <c r="BI514">
        <v>0</v>
      </c>
      <c r="BJ514">
        <v>0</v>
      </c>
      <c r="BK514">
        <v>0</v>
      </c>
      <c r="BL514">
        <v>0</v>
      </c>
      <c r="BM514">
        <v>0</v>
      </c>
      <c r="BN514">
        <v>0</v>
      </c>
      <c r="BO514">
        <v>0</v>
      </c>
      <c r="BP514">
        <v>0</v>
      </c>
      <c r="BQ514">
        <v>0</v>
      </c>
      <c r="BR514">
        <v>0</v>
      </c>
      <c r="BS514">
        <v>0</v>
      </c>
      <c r="BT514">
        <v>0</v>
      </c>
      <c r="BU514">
        <v>0</v>
      </c>
      <c r="BV514">
        <v>0</v>
      </c>
      <c r="BW514">
        <v>0</v>
      </c>
      <c r="BX514">
        <v>0</v>
      </c>
      <c r="BY514">
        <v>0</v>
      </c>
      <c r="BZ514">
        <v>0</v>
      </c>
      <c r="CA514">
        <v>0</v>
      </c>
      <c r="CB514">
        <v>0</v>
      </c>
    </row>
    <row r="515" spans="1:80" x14ac:dyDescent="0.2">
      <c r="A515">
        <v>0</v>
      </c>
      <c r="B515">
        <v>0</v>
      </c>
      <c r="C515">
        <v>0</v>
      </c>
      <c r="D515">
        <v>0</v>
      </c>
      <c r="E515">
        <v>0</v>
      </c>
      <c r="F515">
        <v>0</v>
      </c>
      <c r="G515">
        <v>0</v>
      </c>
      <c r="H515">
        <v>0</v>
      </c>
      <c r="I515">
        <v>0</v>
      </c>
      <c r="J515">
        <v>0</v>
      </c>
      <c r="K515">
        <v>0</v>
      </c>
      <c r="L515">
        <v>0</v>
      </c>
      <c r="M515">
        <v>0</v>
      </c>
      <c r="N515">
        <v>0</v>
      </c>
      <c r="O515">
        <v>0</v>
      </c>
      <c r="P515">
        <v>0</v>
      </c>
      <c r="Q515">
        <v>0</v>
      </c>
      <c r="R515">
        <v>0</v>
      </c>
      <c r="S515">
        <v>0</v>
      </c>
      <c r="T515">
        <v>0</v>
      </c>
      <c r="U515">
        <v>0</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v>0</v>
      </c>
      <c r="BN515">
        <v>0</v>
      </c>
      <c r="BO515">
        <v>0</v>
      </c>
      <c r="BP515">
        <v>0</v>
      </c>
      <c r="BQ515">
        <v>0</v>
      </c>
      <c r="BR515">
        <v>0</v>
      </c>
      <c r="BS515">
        <v>0</v>
      </c>
      <c r="BT515">
        <v>0</v>
      </c>
      <c r="BU515">
        <v>0</v>
      </c>
      <c r="BV515">
        <v>0</v>
      </c>
      <c r="BW515">
        <v>0</v>
      </c>
      <c r="BX515">
        <v>0</v>
      </c>
      <c r="BY515">
        <v>0</v>
      </c>
      <c r="BZ515">
        <v>0</v>
      </c>
      <c r="CA515">
        <v>0</v>
      </c>
      <c r="CB515">
        <v>0</v>
      </c>
    </row>
    <row r="516" spans="1:80" x14ac:dyDescent="0.2">
      <c r="A516">
        <v>0</v>
      </c>
      <c r="B516">
        <v>0</v>
      </c>
      <c r="C516">
        <v>0</v>
      </c>
      <c r="D516">
        <v>0</v>
      </c>
      <c r="E516">
        <v>0</v>
      </c>
      <c r="F516">
        <v>0</v>
      </c>
      <c r="G516">
        <v>0</v>
      </c>
      <c r="H516">
        <v>0</v>
      </c>
      <c r="I516">
        <v>0</v>
      </c>
      <c r="J516">
        <v>0</v>
      </c>
      <c r="K516">
        <v>0</v>
      </c>
      <c r="L516">
        <v>0</v>
      </c>
      <c r="M516">
        <v>0</v>
      </c>
      <c r="N516">
        <v>0</v>
      </c>
      <c r="O516">
        <v>0</v>
      </c>
      <c r="P516">
        <v>0</v>
      </c>
      <c r="Q516">
        <v>0</v>
      </c>
      <c r="R516">
        <v>0</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c r="BW516">
        <v>0</v>
      </c>
      <c r="BX516">
        <v>0</v>
      </c>
      <c r="BY516">
        <v>0</v>
      </c>
      <c r="BZ516">
        <v>0</v>
      </c>
      <c r="CA516">
        <v>0</v>
      </c>
      <c r="CB516">
        <v>0</v>
      </c>
    </row>
    <row r="517" spans="1:80" x14ac:dyDescent="0.2">
      <c r="A517">
        <v>0</v>
      </c>
      <c r="B517">
        <v>0</v>
      </c>
      <c r="C517">
        <v>0</v>
      </c>
      <c r="D517">
        <v>0</v>
      </c>
      <c r="E517">
        <v>0</v>
      </c>
      <c r="F517">
        <v>0</v>
      </c>
      <c r="G517">
        <v>0</v>
      </c>
      <c r="H517">
        <v>0</v>
      </c>
      <c r="I517">
        <v>0</v>
      </c>
      <c r="J517">
        <v>0</v>
      </c>
      <c r="K517">
        <v>0</v>
      </c>
      <c r="L517">
        <v>0</v>
      </c>
      <c r="M517">
        <v>0</v>
      </c>
      <c r="N517">
        <v>0</v>
      </c>
      <c r="O517">
        <v>0</v>
      </c>
      <c r="P517">
        <v>0</v>
      </c>
      <c r="Q517">
        <v>0</v>
      </c>
      <c r="R517">
        <v>0</v>
      </c>
      <c r="S517">
        <v>0</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0</v>
      </c>
      <c r="BU517">
        <v>0</v>
      </c>
      <c r="BV517">
        <v>0</v>
      </c>
      <c r="BW517">
        <v>0</v>
      </c>
      <c r="BX517">
        <v>0</v>
      </c>
      <c r="BY517">
        <v>0</v>
      </c>
      <c r="BZ517">
        <v>0</v>
      </c>
      <c r="CA517">
        <v>0</v>
      </c>
      <c r="CB517">
        <v>0</v>
      </c>
    </row>
    <row r="518" spans="1:80" x14ac:dyDescent="0.2">
      <c r="A518">
        <v>0</v>
      </c>
      <c r="B518">
        <v>0</v>
      </c>
      <c r="C518">
        <v>0</v>
      </c>
      <c r="D518">
        <v>0</v>
      </c>
      <c r="E518">
        <v>0</v>
      </c>
      <c r="F518">
        <v>0</v>
      </c>
      <c r="G518">
        <v>0</v>
      </c>
      <c r="H518">
        <v>0</v>
      </c>
      <c r="I518">
        <v>0</v>
      </c>
      <c r="J518">
        <v>0</v>
      </c>
      <c r="K518">
        <v>0</v>
      </c>
      <c r="L518">
        <v>0</v>
      </c>
      <c r="M518">
        <v>0</v>
      </c>
      <c r="N518">
        <v>0</v>
      </c>
      <c r="O518">
        <v>0</v>
      </c>
      <c r="P518">
        <v>0</v>
      </c>
      <c r="Q518">
        <v>0</v>
      </c>
      <c r="R518">
        <v>0</v>
      </c>
      <c r="S518">
        <v>0</v>
      </c>
      <c r="T518">
        <v>0</v>
      </c>
      <c r="U518">
        <v>0</v>
      </c>
      <c r="V518">
        <v>0</v>
      </c>
      <c r="W518">
        <v>0</v>
      </c>
      <c r="X518">
        <v>0</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0</v>
      </c>
      <c r="BJ518">
        <v>0</v>
      </c>
      <c r="BK518">
        <v>0</v>
      </c>
      <c r="BL518">
        <v>0</v>
      </c>
      <c r="BM518">
        <v>0</v>
      </c>
      <c r="BN518">
        <v>0</v>
      </c>
      <c r="BO518">
        <v>0</v>
      </c>
      <c r="BP518">
        <v>0</v>
      </c>
      <c r="BQ518">
        <v>0</v>
      </c>
      <c r="BR518">
        <v>0</v>
      </c>
      <c r="BS518">
        <v>0</v>
      </c>
      <c r="BT518">
        <v>0</v>
      </c>
      <c r="BU518">
        <v>0</v>
      </c>
      <c r="BV518">
        <v>0</v>
      </c>
      <c r="BW518">
        <v>0</v>
      </c>
      <c r="BX518">
        <v>0</v>
      </c>
      <c r="BY518">
        <v>0</v>
      </c>
      <c r="BZ518">
        <v>0</v>
      </c>
      <c r="CA518">
        <v>0</v>
      </c>
      <c r="CB518">
        <v>0</v>
      </c>
    </row>
    <row r="519" spans="1:80" x14ac:dyDescent="0.2">
      <c r="A519">
        <v>0</v>
      </c>
      <c r="B519">
        <v>0</v>
      </c>
      <c r="C519">
        <v>0</v>
      </c>
      <c r="D519">
        <v>0</v>
      </c>
      <c r="E519">
        <v>0</v>
      </c>
      <c r="F519">
        <v>0</v>
      </c>
      <c r="G519">
        <v>0</v>
      </c>
      <c r="H519">
        <v>0</v>
      </c>
      <c r="I519">
        <v>0</v>
      </c>
      <c r="J519">
        <v>0</v>
      </c>
      <c r="K519">
        <v>0</v>
      </c>
      <c r="L519">
        <v>0</v>
      </c>
      <c r="M519">
        <v>0</v>
      </c>
      <c r="N519">
        <v>0</v>
      </c>
      <c r="O519">
        <v>0</v>
      </c>
      <c r="P519">
        <v>0</v>
      </c>
      <c r="Q519">
        <v>0</v>
      </c>
      <c r="R519">
        <v>0</v>
      </c>
      <c r="S519">
        <v>0</v>
      </c>
      <c r="T519">
        <v>0</v>
      </c>
      <c r="U519">
        <v>0</v>
      </c>
      <c r="V519">
        <v>0</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0</v>
      </c>
      <c r="BU519">
        <v>0</v>
      </c>
      <c r="BV519">
        <v>0</v>
      </c>
      <c r="BW519">
        <v>0</v>
      </c>
      <c r="BX519">
        <v>0</v>
      </c>
      <c r="BY519">
        <v>0</v>
      </c>
      <c r="BZ519">
        <v>0</v>
      </c>
      <c r="CA519">
        <v>0</v>
      </c>
      <c r="CB519">
        <v>0</v>
      </c>
    </row>
    <row r="520" spans="1:80" x14ac:dyDescent="0.2">
      <c r="A520">
        <v>0</v>
      </c>
      <c r="B520">
        <v>0</v>
      </c>
      <c r="C520">
        <v>0</v>
      </c>
      <c r="D520">
        <v>0</v>
      </c>
      <c r="E520">
        <v>0</v>
      </c>
      <c r="F520">
        <v>0</v>
      </c>
      <c r="G520">
        <v>0</v>
      </c>
      <c r="H520">
        <v>0</v>
      </c>
      <c r="I520">
        <v>0</v>
      </c>
      <c r="J520">
        <v>0</v>
      </c>
      <c r="K520">
        <v>0</v>
      </c>
      <c r="L520">
        <v>0</v>
      </c>
      <c r="M520">
        <v>0</v>
      </c>
      <c r="N520">
        <v>0</v>
      </c>
      <c r="O520">
        <v>0</v>
      </c>
      <c r="P520">
        <v>0</v>
      </c>
      <c r="Q520">
        <v>0</v>
      </c>
      <c r="R520">
        <v>0</v>
      </c>
      <c r="S520">
        <v>0</v>
      </c>
      <c r="T520">
        <v>0</v>
      </c>
      <c r="U520">
        <v>0</v>
      </c>
      <c r="V520">
        <v>0</v>
      </c>
      <c r="W520">
        <v>0</v>
      </c>
      <c r="X520">
        <v>0</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v>0</v>
      </c>
      <c r="AW520">
        <v>0</v>
      </c>
      <c r="AX520">
        <v>0</v>
      </c>
      <c r="AY520">
        <v>0</v>
      </c>
      <c r="AZ520">
        <v>0</v>
      </c>
      <c r="BA520">
        <v>0</v>
      </c>
      <c r="BB520">
        <v>0</v>
      </c>
      <c r="BC520">
        <v>0</v>
      </c>
      <c r="BD520">
        <v>0</v>
      </c>
      <c r="BE520">
        <v>0</v>
      </c>
      <c r="BF520">
        <v>0</v>
      </c>
      <c r="BG520">
        <v>0</v>
      </c>
      <c r="BH520">
        <v>0</v>
      </c>
      <c r="BI520">
        <v>0</v>
      </c>
      <c r="BJ520">
        <v>0</v>
      </c>
      <c r="BK520">
        <v>0</v>
      </c>
      <c r="BL520">
        <v>0</v>
      </c>
      <c r="BM520">
        <v>0</v>
      </c>
      <c r="BN520">
        <v>0</v>
      </c>
      <c r="BO520">
        <v>0</v>
      </c>
      <c r="BP520">
        <v>0</v>
      </c>
      <c r="BQ520">
        <v>0</v>
      </c>
      <c r="BR520">
        <v>0</v>
      </c>
      <c r="BS520">
        <v>0</v>
      </c>
      <c r="BT520">
        <v>0</v>
      </c>
      <c r="BU520">
        <v>0</v>
      </c>
      <c r="BV520">
        <v>0</v>
      </c>
      <c r="BW520">
        <v>0</v>
      </c>
      <c r="BX520">
        <v>0</v>
      </c>
      <c r="BY520">
        <v>0</v>
      </c>
      <c r="BZ520">
        <v>0</v>
      </c>
      <c r="CA520">
        <v>0</v>
      </c>
      <c r="CB520">
        <v>0</v>
      </c>
    </row>
    <row r="521" spans="1:80" x14ac:dyDescent="0.2">
      <c r="A521">
        <v>0</v>
      </c>
      <c r="B521">
        <v>0</v>
      </c>
      <c r="C521">
        <v>0</v>
      </c>
      <c r="D521">
        <v>0</v>
      </c>
      <c r="E521">
        <v>0</v>
      </c>
      <c r="F521">
        <v>0</v>
      </c>
      <c r="G521">
        <v>0</v>
      </c>
      <c r="H521">
        <v>0</v>
      </c>
      <c r="I521">
        <v>0</v>
      </c>
      <c r="J521">
        <v>0</v>
      </c>
      <c r="K521">
        <v>0</v>
      </c>
      <c r="L521">
        <v>0</v>
      </c>
      <c r="M521">
        <v>0</v>
      </c>
      <c r="N521">
        <v>0</v>
      </c>
      <c r="O521">
        <v>0</v>
      </c>
      <c r="P521">
        <v>0</v>
      </c>
      <c r="Q521">
        <v>0</v>
      </c>
      <c r="R521">
        <v>0</v>
      </c>
      <c r="S521">
        <v>0</v>
      </c>
      <c r="T521">
        <v>0</v>
      </c>
      <c r="U521">
        <v>0</v>
      </c>
      <c r="V521">
        <v>0</v>
      </c>
      <c r="W521">
        <v>0</v>
      </c>
      <c r="X521">
        <v>0</v>
      </c>
      <c r="Y521">
        <v>0</v>
      </c>
      <c r="Z521">
        <v>0</v>
      </c>
      <c r="AA521">
        <v>0</v>
      </c>
      <c r="AB521">
        <v>0</v>
      </c>
      <c r="AC521">
        <v>0</v>
      </c>
      <c r="AD521">
        <v>0</v>
      </c>
      <c r="AE521">
        <v>0</v>
      </c>
      <c r="AF521">
        <v>0</v>
      </c>
      <c r="AG521">
        <v>0</v>
      </c>
      <c r="AH521">
        <v>0</v>
      </c>
      <c r="AI521">
        <v>0</v>
      </c>
      <c r="AJ521">
        <v>0</v>
      </c>
      <c r="AK521">
        <v>0</v>
      </c>
      <c r="AL521">
        <v>0</v>
      </c>
      <c r="AM521">
        <v>0</v>
      </c>
      <c r="AN521">
        <v>0</v>
      </c>
      <c r="AO521">
        <v>0</v>
      </c>
      <c r="AP521">
        <v>0</v>
      </c>
      <c r="AQ521">
        <v>0</v>
      </c>
      <c r="AR521">
        <v>0</v>
      </c>
      <c r="AS521">
        <v>0</v>
      </c>
      <c r="AT521">
        <v>0</v>
      </c>
      <c r="AU521">
        <v>0</v>
      </c>
      <c r="AV521">
        <v>0</v>
      </c>
      <c r="AW521">
        <v>0</v>
      </c>
      <c r="AX521">
        <v>0</v>
      </c>
      <c r="AY521">
        <v>0</v>
      </c>
      <c r="AZ521">
        <v>0</v>
      </c>
      <c r="BA521">
        <v>0</v>
      </c>
      <c r="BB521">
        <v>0</v>
      </c>
      <c r="BC521">
        <v>0</v>
      </c>
      <c r="BD521">
        <v>0</v>
      </c>
      <c r="BE521">
        <v>0</v>
      </c>
      <c r="BF521">
        <v>0</v>
      </c>
      <c r="BG521">
        <v>0</v>
      </c>
      <c r="BH521">
        <v>0</v>
      </c>
      <c r="BI521">
        <v>0</v>
      </c>
      <c r="BJ521">
        <v>0</v>
      </c>
      <c r="BK521">
        <v>0</v>
      </c>
      <c r="BL521">
        <v>0</v>
      </c>
      <c r="BM521">
        <v>0</v>
      </c>
      <c r="BN521">
        <v>0</v>
      </c>
      <c r="BO521">
        <v>0</v>
      </c>
      <c r="BP521">
        <v>0</v>
      </c>
      <c r="BQ521">
        <v>0</v>
      </c>
      <c r="BR521">
        <v>0</v>
      </c>
      <c r="BS521">
        <v>0</v>
      </c>
      <c r="BT521">
        <v>0</v>
      </c>
      <c r="BU521">
        <v>0</v>
      </c>
      <c r="BV521">
        <v>0</v>
      </c>
      <c r="BW521">
        <v>0</v>
      </c>
      <c r="BX521">
        <v>0</v>
      </c>
      <c r="BY521">
        <v>0</v>
      </c>
      <c r="BZ521">
        <v>0</v>
      </c>
      <c r="CA521">
        <v>0</v>
      </c>
      <c r="CB521">
        <v>0</v>
      </c>
    </row>
    <row r="522" spans="1:80" x14ac:dyDescent="0.2">
      <c r="A522">
        <v>0</v>
      </c>
      <c r="B522">
        <v>0</v>
      </c>
      <c r="C522">
        <v>0</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0</v>
      </c>
      <c r="AZ522">
        <v>0</v>
      </c>
      <c r="BA522">
        <v>0</v>
      </c>
      <c r="BB522">
        <v>0</v>
      </c>
      <c r="BC522">
        <v>0</v>
      </c>
      <c r="BD522">
        <v>0</v>
      </c>
      <c r="BE522">
        <v>0</v>
      </c>
      <c r="BF522">
        <v>0</v>
      </c>
      <c r="BG522">
        <v>0</v>
      </c>
      <c r="BH522">
        <v>0</v>
      </c>
      <c r="BI522">
        <v>0</v>
      </c>
      <c r="BJ522">
        <v>0</v>
      </c>
      <c r="BK522">
        <v>0</v>
      </c>
      <c r="BL522">
        <v>0</v>
      </c>
      <c r="BM522">
        <v>0</v>
      </c>
      <c r="BN522">
        <v>0</v>
      </c>
      <c r="BO522">
        <v>0</v>
      </c>
      <c r="BP522">
        <v>0</v>
      </c>
      <c r="BQ522">
        <v>0</v>
      </c>
      <c r="BR522">
        <v>0</v>
      </c>
      <c r="BS522">
        <v>0</v>
      </c>
      <c r="BT522">
        <v>0</v>
      </c>
      <c r="BU522">
        <v>0</v>
      </c>
      <c r="BV522">
        <v>0</v>
      </c>
      <c r="BW522">
        <v>0</v>
      </c>
      <c r="BX522">
        <v>0</v>
      </c>
      <c r="BY522">
        <v>0</v>
      </c>
      <c r="BZ522">
        <v>0</v>
      </c>
      <c r="CA522">
        <v>0</v>
      </c>
      <c r="CB522">
        <v>0</v>
      </c>
    </row>
    <row r="523" spans="1:80" x14ac:dyDescent="0.2">
      <c r="A523">
        <v>0</v>
      </c>
      <c r="B523">
        <v>0</v>
      </c>
      <c r="C523">
        <v>0</v>
      </c>
      <c r="D523">
        <v>0</v>
      </c>
      <c r="E523">
        <v>0</v>
      </c>
      <c r="F523">
        <v>0</v>
      </c>
      <c r="G523">
        <v>0</v>
      </c>
      <c r="H523">
        <v>0</v>
      </c>
      <c r="I523">
        <v>0</v>
      </c>
      <c r="J523">
        <v>0</v>
      </c>
      <c r="K523">
        <v>0</v>
      </c>
      <c r="L523">
        <v>0</v>
      </c>
      <c r="M523">
        <v>0</v>
      </c>
      <c r="N523">
        <v>0</v>
      </c>
      <c r="O523">
        <v>0</v>
      </c>
      <c r="P523">
        <v>0</v>
      </c>
      <c r="Q523">
        <v>0</v>
      </c>
      <c r="R523">
        <v>0</v>
      </c>
      <c r="S523">
        <v>0</v>
      </c>
      <c r="T523">
        <v>0</v>
      </c>
      <c r="U523">
        <v>0</v>
      </c>
      <c r="V523">
        <v>0</v>
      </c>
      <c r="W523">
        <v>0</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v>0</v>
      </c>
      <c r="BI523">
        <v>0</v>
      </c>
      <c r="BJ523">
        <v>0</v>
      </c>
      <c r="BK523">
        <v>0</v>
      </c>
      <c r="BL523">
        <v>0</v>
      </c>
      <c r="BM523">
        <v>0</v>
      </c>
      <c r="BN523">
        <v>0</v>
      </c>
      <c r="BO523">
        <v>0</v>
      </c>
      <c r="BP523">
        <v>0</v>
      </c>
      <c r="BQ523">
        <v>0</v>
      </c>
      <c r="BR523">
        <v>0</v>
      </c>
      <c r="BS523">
        <v>0</v>
      </c>
      <c r="BT523">
        <v>0</v>
      </c>
      <c r="BU523">
        <v>0</v>
      </c>
      <c r="BV523">
        <v>0</v>
      </c>
      <c r="BW523">
        <v>0</v>
      </c>
      <c r="BX523">
        <v>0</v>
      </c>
      <c r="BY523">
        <v>0</v>
      </c>
      <c r="BZ523">
        <v>0</v>
      </c>
      <c r="CA523">
        <v>0</v>
      </c>
      <c r="CB523">
        <v>0</v>
      </c>
    </row>
    <row r="524" spans="1:80" x14ac:dyDescent="0.2">
      <c r="A524">
        <v>0</v>
      </c>
      <c r="B524">
        <v>0</v>
      </c>
      <c r="C524">
        <v>0</v>
      </c>
      <c r="D524">
        <v>0</v>
      </c>
      <c r="E524">
        <v>0</v>
      </c>
      <c r="F524">
        <v>0</v>
      </c>
      <c r="G524">
        <v>0</v>
      </c>
      <c r="H524">
        <v>0</v>
      </c>
      <c r="I524">
        <v>0</v>
      </c>
      <c r="J524">
        <v>0</v>
      </c>
      <c r="K524">
        <v>0</v>
      </c>
      <c r="L524">
        <v>0</v>
      </c>
      <c r="M524">
        <v>0</v>
      </c>
      <c r="N524">
        <v>0</v>
      </c>
      <c r="O524">
        <v>0</v>
      </c>
      <c r="P524">
        <v>0</v>
      </c>
      <c r="Q524">
        <v>0</v>
      </c>
      <c r="R524">
        <v>0</v>
      </c>
      <c r="S524">
        <v>0</v>
      </c>
      <c r="T524">
        <v>0</v>
      </c>
      <c r="U524">
        <v>0</v>
      </c>
      <c r="V524">
        <v>0</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v>
      </c>
      <c r="AS524">
        <v>0</v>
      </c>
      <c r="AT524">
        <v>0</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v>0</v>
      </c>
      <c r="BN524">
        <v>0</v>
      </c>
      <c r="BO524">
        <v>0</v>
      </c>
      <c r="BP524">
        <v>0</v>
      </c>
      <c r="BQ524">
        <v>0</v>
      </c>
      <c r="BR524">
        <v>0</v>
      </c>
      <c r="BS524">
        <v>0</v>
      </c>
      <c r="BT524">
        <v>0</v>
      </c>
      <c r="BU524">
        <v>0</v>
      </c>
      <c r="BV524">
        <v>0</v>
      </c>
      <c r="BW524">
        <v>0</v>
      </c>
      <c r="BX524">
        <v>0</v>
      </c>
      <c r="BY524">
        <v>0</v>
      </c>
      <c r="BZ524">
        <v>0</v>
      </c>
      <c r="CA524">
        <v>0</v>
      </c>
      <c r="CB524">
        <v>0</v>
      </c>
    </row>
    <row r="525" spans="1:80" x14ac:dyDescent="0.2">
      <c r="A525">
        <v>0</v>
      </c>
      <c r="B525">
        <v>0</v>
      </c>
      <c r="C525">
        <v>0</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0</v>
      </c>
      <c r="BO525">
        <v>0</v>
      </c>
      <c r="BP525">
        <v>0</v>
      </c>
      <c r="BQ525">
        <v>0</v>
      </c>
      <c r="BR525">
        <v>0</v>
      </c>
      <c r="BS525">
        <v>0</v>
      </c>
      <c r="BT525">
        <v>0</v>
      </c>
      <c r="BU525">
        <v>0</v>
      </c>
      <c r="BV525">
        <v>0</v>
      </c>
      <c r="BW525">
        <v>0</v>
      </c>
      <c r="BX525">
        <v>0</v>
      </c>
      <c r="BY525">
        <v>0</v>
      </c>
      <c r="BZ525">
        <v>0</v>
      </c>
      <c r="CA525">
        <v>0</v>
      </c>
      <c r="CB525">
        <v>0</v>
      </c>
    </row>
    <row r="526" spans="1:80" x14ac:dyDescent="0.2">
      <c r="A526">
        <v>0</v>
      </c>
      <c r="B526">
        <v>0</v>
      </c>
      <c r="C526">
        <v>0</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v>0</v>
      </c>
      <c r="AS526">
        <v>0</v>
      </c>
      <c r="AT526">
        <v>0</v>
      </c>
      <c r="AU526">
        <v>0</v>
      </c>
      <c r="AV526">
        <v>0</v>
      </c>
      <c r="AW526">
        <v>0</v>
      </c>
      <c r="AX526">
        <v>0</v>
      </c>
      <c r="AY526">
        <v>0</v>
      </c>
      <c r="AZ526">
        <v>0</v>
      </c>
      <c r="BA526">
        <v>0</v>
      </c>
      <c r="BB526">
        <v>0</v>
      </c>
      <c r="BC526">
        <v>0</v>
      </c>
      <c r="BD526">
        <v>0</v>
      </c>
      <c r="BE526">
        <v>0</v>
      </c>
      <c r="BF526">
        <v>0</v>
      </c>
      <c r="BG526">
        <v>0</v>
      </c>
      <c r="BH526">
        <v>0</v>
      </c>
      <c r="BI526">
        <v>0</v>
      </c>
      <c r="BJ526">
        <v>0</v>
      </c>
      <c r="BK526">
        <v>0</v>
      </c>
      <c r="BL526">
        <v>0</v>
      </c>
      <c r="BM526">
        <v>0</v>
      </c>
      <c r="BN526">
        <v>0</v>
      </c>
      <c r="BO526">
        <v>0</v>
      </c>
      <c r="BP526">
        <v>0</v>
      </c>
      <c r="BQ526">
        <v>0</v>
      </c>
      <c r="BR526">
        <v>0</v>
      </c>
      <c r="BS526">
        <v>0</v>
      </c>
      <c r="BT526">
        <v>0</v>
      </c>
      <c r="BU526">
        <v>0</v>
      </c>
      <c r="BV526">
        <v>0</v>
      </c>
      <c r="BW526">
        <v>0</v>
      </c>
      <c r="BX526">
        <v>0</v>
      </c>
      <c r="BY526">
        <v>0</v>
      </c>
      <c r="BZ526">
        <v>0</v>
      </c>
      <c r="CA526">
        <v>0</v>
      </c>
      <c r="CB526">
        <v>0</v>
      </c>
    </row>
    <row r="527" spans="1:80" x14ac:dyDescent="0.2">
      <c r="A527">
        <v>0</v>
      </c>
      <c r="B527">
        <v>0</v>
      </c>
      <c r="C527">
        <v>0</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c r="X527">
        <v>0</v>
      </c>
      <c r="Y527">
        <v>0</v>
      </c>
      <c r="Z527">
        <v>0</v>
      </c>
      <c r="AA527">
        <v>0</v>
      </c>
      <c r="AB527">
        <v>0</v>
      </c>
      <c r="AC527">
        <v>0</v>
      </c>
      <c r="AD527">
        <v>0</v>
      </c>
      <c r="AE527">
        <v>0</v>
      </c>
      <c r="AF527">
        <v>0</v>
      </c>
      <c r="AG527">
        <v>0</v>
      </c>
      <c r="AH527">
        <v>0</v>
      </c>
      <c r="AI527">
        <v>0</v>
      </c>
      <c r="AJ527">
        <v>0</v>
      </c>
      <c r="AK527">
        <v>0</v>
      </c>
      <c r="AL527">
        <v>0</v>
      </c>
      <c r="AM527">
        <v>0</v>
      </c>
      <c r="AN527">
        <v>0</v>
      </c>
      <c r="AO527">
        <v>0</v>
      </c>
      <c r="AP527">
        <v>0</v>
      </c>
      <c r="AQ527">
        <v>0</v>
      </c>
      <c r="AR527">
        <v>0</v>
      </c>
      <c r="AS527">
        <v>0</v>
      </c>
      <c r="AT527">
        <v>0</v>
      </c>
      <c r="AU527">
        <v>0</v>
      </c>
      <c r="AV527">
        <v>0</v>
      </c>
      <c r="AW527">
        <v>0</v>
      </c>
      <c r="AX527">
        <v>0</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v>
      </c>
      <c r="BU527">
        <v>0</v>
      </c>
      <c r="BV527">
        <v>0</v>
      </c>
      <c r="BW527">
        <v>0</v>
      </c>
      <c r="BX527">
        <v>0</v>
      </c>
      <c r="BY527">
        <v>0</v>
      </c>
      <c r="BZ527">
        <v>0</v>
      </c>
      <c r="CA527">
        <v>0</v>
      </c>
      <c r="CB527">
        <v>0</v>
      </c>
    </row>
    <row r="528" spans="1:80" x14ac:dyDescent="0.2">
      <c r="A528">
        <v>0</v>
      </c>
      <c r="B528">
        <v>0</v>
      </c>
      <c r="C528">
        <v>0</v>
      </c>
      <c r="D528">
        <v>0</v>
      </c>
      <c r="E528">
        <v>0</v>
      </c>
      <c r="F528">
        <v>0</v>
      </c>
      <c r="G528">
        <v>0</v>
      </c>
      <c r="H528">
        <v>0</v>
      </c>
      <c r="I528">
        <v>0</v>
      </c>
      <c r="J528">
        <v>0</v>
      </c>
      <c r="K528">
        <v>0</v>
      </c>
      <c r="L528">
        <v>0</v>
      </c>
      <c r="M528">
        <v>0</v>
      </c>
      <c r="N528">
        <v>0</v>
      </c>
      <c r="O528">
        <v>0</v>
      </c>
      <c r="P528">
        <v>0</v>
      </c>
      <c r="Q528">
        <v>0</v>
      </c>
      <c r="R528">
        <v>0</v>
      </c>
      <c r="S528">
        <v>0</v>
      </c>
      <c r="T528">
        <v>0</v>
      </c>
      <c r="U528">
        <v>0</v>
      </c>
      <c r="V528">
        <v>0</v>
      </c>
      <c r="W528">
        <v>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v>0</v>
      </c>
      <c r="BA528">
        <v>0</v>
      </c>
      <c r="BB528">
        <v>0</v>
      </c>
      <c r="BC528">
        <v>0</v>
      </c>
      <c r="BD528">
        <v>0</v>
      </c>
      <c r="BE528">
        <v>0</v>
      </c>
      <c r="BF528">
        <v>0</v>
      </c>
      <c r="BG528">
        <v>0</v>
      </c>
      <c r="BH528">
        <v>0</v>
      </c>
      <c r="BI528">
        <v>0</v>
      </c>
      <c r="BJ528">
        <v>0</v>
      </c>
      <c r="BK528">
        <v>0</v>
      </c>
      <c r="BL528">
        <v>0</v>
      </c>
      <c r="BM528">
        <v>0</v>
      </c>
      <c r="BN528">
        <v>0</v>
      </c>
      <c r="BO528">
        <v>0</v>
      </c>
      <c r="BP528">
        <v>0</v>
      </c>
      <c r="BQ528">
        <v>0</v>
      </c>
      <c r="BR528">
        <v>0</v>
      </c>
      <c r="BS528">
        <v>0</v>
      </c>
      <c r="BT528">
        <v>0</v>
      </c>
      <c r="BU528">
        <v>0</v>
      </c>
      <c r="BV528">
        <v>0</v>
      </c>
      <c r="BW528">
        <v>0</v>
      </c>
      <c r="BX528">
        <v>0</v>
      </c>
      <c r="BY528">
        <v>0</v>
      </c>
      <c r="BZ528">
        <v>0</v>
      </c>
      <c r="CA528">
        <v>0</v>
      </c>
      <c r="CB528">
        <v>0</v>
      </c>
    </row>
    <row r="529" spans="1:80" x14ac:dyDescent="0.2">
      <c r="A529">
        <v>0</v>
      </c>
      <c r="B529">
        <v>0</v>
      </c>
      <c r="C529">
        <v>0</v>
      </c>
      <c r="D529">
        <v>0</v>
      </c>
      <c r="E529">
        <v>0</v>
      </c>
      <c r="F529">
        <v>0</v>
      </c>
      <c r="G529">
        <v>0</v>
      </c>
      <c r="H529">
        <v>0</v>
      </c>
      <c r="I529">
        <v>0</v>
      </c>
      <c r="J529">
        <v>0</v>
      </c>
      <c r="K529">
        <v>0</v>
      </c>
      <c r="L529">
        <v>0</v>
      </c>
      <c r="M529">
        <v>0</v>
      </c>
      <c r="N529">
        <v>0</v>
      </c>
      <c r="O529">
        <v>0</v>
      </c>
      <c r="P529">
        <v>0</v>
      </c>
      <c r="Q529">
        <v>0</v>
      </c>
      <c r="R529">
        <v>0</v>
      </c>
      <c r="S529">
        <v>0</v>
      </c>
      <c r="T529">
        <v>0</v>
      </c>
      <c r="U529">
        <v>0</v>
      </c>
      <c r="V529">
        <v>0</v>
      </c>
      <c r="W529">
        <v>0</v>
      </c>
      <c r="X529">
        <v>0</v>
      </c>
      <c r="Y529">
        <v>0</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v>0</v>
      </c>
      <c r="AS529">
        <v>0</v>
      </c>
      <c r="AT529">
        <v>0</v>
      </c>
      <c r="AU529">
        <v>0</v>
      </c>
      <c r="AV529">
        <v>0</v>
      </c>
      <c r="AW529">
        <v>0</v>
      </c>
      <c r="AX529">
        <v>0</v>
      </c>
      <c r="AY529">
        <v>0</v>
      </c>
      <c r="AZ529">
        <v>0</v>
      </c>
      <c r="BA529">
        <v>0</v>
      </c>
      <c r="BB529">
        <v>0</v>
      </c>
      <c r="BC529">
        <v>0</v>
      </c>
      <c r="BD529">
        <v>0</v>
      </c>
      <c r="BE529">
        <v>0</v>
      </c>
      <c r="BF529">
        <v>0</v>
      </c>
      <c r="BG529">
        <v>0</v>
      </c>
      <c r="BH529">
        <v>0</v>
      </c>
      <c r="BI529">
        <v>0</v>
      </c>
      <c r="BJ529">
        <v>0</v>
      </c>
      <c r="BK529">
        <v>0</v>
      </c>
      <c r="BL529">
        <v>0</v>
      </c>
      <c r="BM529">
        <v>0</v>
      </c>
      <c r="BN529">
        <v>0</v>
      </c>
      <c r="BO529">
        <v>0</v>
      </c>
      <c r="BP529">
        <v>0</v>
      </c>
      <c r="BQ529">
        <v>0</v>
      </c>
      <c r="BR529">
        <v>0</v>
      </c>
      <c r="BS529">
        <v>0</v>
      </c>
      <c r="BT529">
        <v>0</v>
      </c>
      <c r="BU529">
        <v>0</v>
      </c>
      <c r="BV529">
        <v>0</v>
      </c>
      <c r="BW529">
        <v>0</v>
      </c>
      <c r="BX529">
        <v>0</v>
      </c>
      <c r="BY529">
        <v>0</v>
      </c>
      <c r="BZ529">
        <v>0</v>
      </c>
      <c r="CA529">
        <v>0</v>
      </c>
      <c r="CB529">
        <v>0</v>
      </c>
    </row>
    <row r="530" spans="1:80" x14ac:dyDescent="0.2">
      <c r="A530">
        <v>0</v>
      </c>
      <c r="B530">
        <v>0</v>
      </c>
      <c r="C530">
        <v>0</v>
      </c>
      <c r="D530">
        <v>0</v>
      </c>
      <c r="E530">
        <v>0</v>
      </c>
      <c r="F530">
        <v>0</v>
      </c>
      <c r="G530">
        <v>0</v>
      </c>
      <c r="H530">
        <v>0</v>
      </c>
      <c r="I530">
        <v>0</v>
      </c>
      <c r="J530">
        <v>0</v>
      </c>
      <c r="K530">
        <v>0</v>
      </c>
      <c r="L530">
        <v>0</v>
      </c>
      <c r="M530">
        <v>0</v>
      </c>
      <c r="N530">
        <v>0</v>
      </c>
      <c r="O530">
        <v>0</v>
      </c>
      <c r="P530">
        <v>0</v>
      </c>
      <c r="Q530">
        <v>0</v>
      </c>
      <c r="R530">
        <v>0</v>
      </c>
      <c r="S530">
        <v>0</v>
      </c>
      <c r="T530">
        <v>0</v>
      </c>
      <c r="U530">
        <v>0</v>
      </c>
      <c r="V530">
        <v>0</v>
      </c>
      <c r="W530">
        <v>0</v>
      </c>
      <c r="X530">
        <v>0</v>
      </c>
      <c r="Y530">
        <v>0</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v>0</v>
      </c>
      <c r="AS530">
        <v>0</v>
      </c>
      <c r="AT530">
        <v>0</v>
      </c>
      <c r="AU530">
        <v>0</v>
      </c>
      <c r="AV530">
        <v>0</v>
      </c>
      <c r="AW530">
        <v>0</v>
      </c>
      <c r="AX530">
        <v>0</v>
      </c>
      <c r="AY530">
        <v>0</v>
      </c>
      <c r="AZ530">
        <v>0</v>
      </c>
      <c r="BA530">
        <v>0</v>
      </c>
      <c r="BB530">
        <v>0</v>
      </c>
      <c r="BC530">
        <v>0</v>
      </c>
      <c r="BD530">
        <v>0</v>
      </c>
      <c r="BE530">
        <v>0</v>
      </c>
      <c r="BF530">
        <v>0</v>
      </c>
      <c r="BG530">
        <v>0</v>
      </c>
      <c r="BH530">
        <v>0</v>
      </c>
      <c r="BI530">
        <v>0</v>
      </c>
      <c r="BJ530">
        <v>0</v>
      </c>
      <c r="BK530">
        <v>0</v>
      </c>
      <c r="BL530">
        <v>0</v>
      </c>
      <c r="BM530">
        <v>0</v>
      </c>
      <c r="BN530">
        <v>0</v>
      </c>
      <c r="BO530">
        <v>0</v>
      </c>
      <c r="BP530">
        <v>0</v>
      </c>
      <c r="BQ530">
        <v>0</v>
      </c>
      <c r="BR530">
        <v>0</v>
      </c>
      <c r="BS530">
        <v>0</v>
      </c>
      <c r="BT530">
        <v>0</v>
      </c>
      <c r="BU530">
        <v>0</v>
      </c>
      <c r="BV530">
        <v>0</v>
      </c>
      <c r="BW530">
        <v>0</v>
      </c>
      <c r="BX530">
        <v>0</v>
      </c>
      <c r="BY530">
        <v>0</v>
      </c>
      <c r="BZ530">
        <v>0</v>
      </c>
      <c r="CA530">
        <v>0</v>
      </c>
      <c r="CB530">
        <v>0</v>
      </c>
    </row>
    <row r="531" spans="1:80" x14ac:dyDescent="0.2">
      <c r="A531">
        <v>0</v>
      </c>
      <c r="B531">
        <v>0</v>
      </c>
      <c r="C531">
        <v>0</v>
      </c>
      <c r="D531">
        <v>0</v>
      </c>
      <c r="E531">
        <v>0</v>
      </c>
      <c r="F531">
        <v>0</v>
      </c>
      <c r="G531">
        <v>0</v>
      </c>
      <c r="H531">
        <v>0</v>
      </c>
      <c r="I531">
        <v>0</v>
      </c>
      <c r="J531">
        <v>0</v>
      </c>
      <c r="K531">
        <v>0</v>
      </c>
      <c r="L531">
        <v>0</v>
      </c>
      <c r="M531">
        <v>0</v>
      </c>
      <c r="N531">
        <v>0</v>
      </c>
      <c r="O531">
        <v>0</v>
      </c>
      <c r="P531">
        <v>0</v>
      </c>
      <c r="Q531">
        <v>0</v>
      </c>
      <c r="R531">
        <v>0</v>
      </c>
      <c r="S531">
        <v>0</v>
      </c>
      <c r="T531">
        <v>0</v>
      </c>
      <c r="U531">
        <v>0</v>
      </c>
      <c r="V531">
        <v>0</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v>0</v>
      </c>
      <c r="BA531">
        <v>0</v>
      </c>
      <c r="BB531">
        <v>0</v>
      </c>
      <c r="BC531">
        <v>0</v>
      </c>
      <c r="BD531">
        <v>0</v>
      </c>
      <c r="BE531">
        <v>0</v>
      </c>
      <c r="BF531">
        <v>0</v>
      </c>
      <c r="BG531">
        <v>0</v>
      </c>
      <c r="BH531">
        <v>0</v>
      </c>
      <c r="BI531">
        <v>0</v>
      </c>
      <c r="BJ531">
        <v>0</v>
      </c>
      <c r="BK531">
        <v>0</v>
      </c>
      <c r="BL531">
        <v>0</v>
      </c>
      <c r="BM531">
        <v>0</v>
      </c>
      <c r="BN531">
        <v>0</v>
      </c>
      <c r="BO531">
        <v>0</v>
      </c>
      <c r="BP531">
        <v>0</v>
      </c>
      <c r="BQ531">
        <v>0</v>
      </c>
      <c r="BR531">
        <v>0</v>
      </c>
      <c r="BS531">
        <v>0</v>
      </c>
      <c r="BT531">
        <v>0</v>
      </c>
      <c r="BU531">
        <v>0</v>
      </c>
      <c r="BV531">
        <v>0</v>
      </c>
      <c r="BW531">
        <v>0</v>
      </c>
      <c r="BX531">
        <v>0</v>
      </c>
      <c r="BY531">
        <v>0</v>
      </c>
      <c r="BZ531">
        <v>0</v>
      </c>
      <c r="CA531">
        <v>0</v>
      </c>
      <c r="CB531">
        <v>0</v>
      </c>
    </row>
    <row r="532" spans="1:80" x14ac:dyDescent="0.2">
      <c r="A532">
        <v>0</v>
      </c>
      <c r="B532">
        <v>0</v>
      </c>
      <c r="C532">
        <v>0</v>
      </c>
      <c r="D532">
        <v>0</v>
      </c>
      <c r="E532">
        <v>0</v>
      </c>
      <c r="F532">
        <v>0</v>
      </c>
      <c r="G532">
        <v>0</v>
      </c>
      <c r="H532">
        <v>0</v>
      </c>
      <c r="I532">
        <v>0</v>
      </c>
      <c r="J532">
        <v>0</v>
      </c>
      <c r="K532">
        <v>0</v>
      </c>
      <c r="L532">
        <v>0</v>
      </c>
      <c r="M532">
        <v>0</v>
      </c>
      <c r="N532">
        <v>0</v>
      </c>
      <c r="O532">
        <v>0</v>
      </c>
      <c r="P532">
        <v>0</v>
      </c>
      <c r="Q532">
        <v>0</v>
      </c>
      <c r="R532">
        <v>0</v>
      </c>
      <c r="S532">
        <v>0</v>
      </c>
      <c r="T532">
        <v>0</v>
      </c>
      <c r="U532">
        <v>0</v>
      </c>
      <c r="V532">
        <v>0</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v>0</v>
      </c>
      <c r="BA532">
        <v>0</v>
      </c>
      <c r="BB532">
        <v>0</v>
      </c>
      <c r="BC532">
        <v>0</v>
      </c>
      <c r="BD532">
        <v>0</v>
      </c>
      <c r="BE532">
        <v>0</v>
      </c>
      <c r="BF532">
        <v>0</v>
      </c>
      <c r="BG532">
        <v>0</v>
      </c>
      <c r="BH532">
        <v>0</v>
      </c>
      <c r="BI532">
        <v>0</v>
      </c>
      <c r="BJ532">
        <v>0</v>
      </c>
      <c r="BK532">
        <v>0</v>
      </c>
      <c r="BL532">
        <v>0</v>
      </c>
      <c r="BM532">
        <v>0</v>
      </c>
      <c r="BN532">
        <v>0</v>
      </c>
      <c r="BO532">
        <v>0</v>
      </c>
      <c r="BP532">
        <v>0</v>
      </c>
      <c r="BQ532">
        <v>0</v>
      </c>
      <c r="BR532">
        <v>0</v>
      </c>
      <c r="BS532">
        <v>0</v>
      </c>
      <c r="BT532">
        <v>0</v>
      </c>
      <c r="BU532">
        <v>0</v>
      </c>
      <c r="BV532">
        <v>0</v>
      </c>
      <c r="BW532">
        <v>0</v>
      </c>
      <c r="BX532">
        <v>0</v>
      </c>
      <c r="BY532">
        <v>0</v>
      </c>
      <c r="BZ532">
        <v>0</v>
      </c>
      <c r="CA532">
        <v>0</v>
      </c>
      <c r="CB532">
        <v>0</v>
      </c>
    </row>
    <row r="533" spans="1:80" x14ac:dyDescent="0.2">
      <c r="A533">
        <v>0</v>
      </c>
      <c r="B533">
        <v>0</v>
      </c>
      <c r="C533">
        <v>0</v>
      </c>
      <c r="D533">
        <v>0</v>
      </c>
      <c r="E533">
        <v>0</v>
      </c>
      <c r="F533">
        <v>0</v>
      </c>
      <c r="G533">
        <v>0</v>
      </c>
      <c r="H533">
        <v>0</v>
      </c>
      <c r="I533">
        <v>0</v>
      </c>
      <c r="J533">
        <v>0</v>
      </c>
      <c r="K533">
        <v>0</v>
      </c>
      <c r="L533">
        <v>0</v>
      </c>
      <c r="M533">
        <v>0</v>
      </c>
      <c r="N533">
        <v>0</v>
      </c>
      <c r="O533">
        <v>0</v>
      </c>
      <c r="P533">
        <v>0</v>
      </c>
      <c r="Q533">
        <v>0</v>
      </c>
      <c r="R533">
        <v>0</v>
      </c>
      <c r="S533">
        <v>0</v>
      </c>
      <c r="T533">
        <v>0</v>
      </c>
      <c r="U533">
        <v>0</v>
      </c>
      <c r="V533">
        <v>0</v>
      </c>
      <c r="W533">
        <v>0</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0</v>
      </c>
      <c r="BB533">
        <v>0</v>
      </c>
      <c r="BC533">
        <v>0</v>
      </c>
      <c r="BD533">
        <v>0</v>
      </c>
      <c r="BE533">
        <v>0</v>
      </c>
      <c r="BF533">
        <v>0</v>
      </c>
      <c r="BG533">
        <v>0</v>
      </c>
      <c r="BH533">
        <v>0</v>
      </c>
      <c r="BI533">
        <v>0</v>
      </c>
      <c r="BJ533">
        <v>0</v>
      </c>
      <c r="BK533">
        <v>0</v>
      </c>
      <c r="BL533">
        <v>0</v>
      </c>
      <c r="BM533">
        <v>0</v>
      </c>
      <c r="BN533">
        <v>0</v>
      </c>
      <c r="BO533">
        <v>0</v>
      </c>
      <c r="BP533">
        <v>0</v>
      </c>
      <c r="BQ533">
        <v>0</v>
      </c>
      <c r="BR533">
        <v>0</v>
      </c>
      <c r="BS533">
        <v>0</v>
      </c>
      <c r="BT533">
        <v>0</v>
      </c>
      <c r="BU533">
        <v>0</v>
      </c>
      <c r="BV533">
        <v>0</v>
      </c>
      <c r="BW533">
        <v>0</v>
      </c>
      <c r="BX533">
        <v>0</v>
      </c>
      <c r="BY533">
        <v>0</v>
      </c>
      <c r="BZ533">
        <v>0</v>
      </c>
      <c r="CA533">
        <v>0</v>
      </c>
      <c r="CB533">
        <v>0</v>
      </c>
    </row>
    <row r="534" spans="1:80" x14ac:dyDescent="0.2">
      <c r="A534">
        <v>0</v>
      </c>
      <c r="B534">
        <v>0</v>
      </c>
      <c r="C534">
        <v>0</v>
      </c>
      <c r="D534">
        <v>0</v>
      </c>
      <c r="E534">
        <v>0</v>
      </c>
      <c r="F534">
        <v>0</v>
      </c>
      <c r="G534">
        <v>0</v>
      </c>
      <c r="H534">
        <v>0</v>
      </c>
      <c r="I534">
        <v>0</v>
      </c>
      <c r="J534">
        <v>0</v>
      </c>
      <c r="K534">
        <v>0</v>
      </c>
      <c r="L534">
        <v>0</v>
      </c>
      <c r="M534">
        <v>0</v>
      </c>
      <c r="N534">
        <v>0</v>
      </c>
      <c r="O534">
        <v>0</v>
      </c>
      <c r="P534">
        <v>0</v>
      </c>
      <c r="Q534">
        <v>0</v>
      </c>
      <c r="R534">
        <v>0</v>
      </c>
      <c r="S534">
        <v>0</v>
      </c>
      <c r="T534">
        <v>0</v>
      </c>
      <c r="U534">
        <v>0</v>
      </c>
      <c r="V534">
        <v>0</v>
      </c>
      <c r="W534">
        <v>0</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c r="AT534">
        <v>0</v>
      </c>
      <c r="AU534">
        <v>0</v>
      </c>
      <c r="AV534">
        <v>0</v>
      </c>
      <c r="AW534">
        <v>0</v>
      </c>
      <c r="AX534">
        <v>0</v>
      </c>
      <c r="AY534">
        <v>0</v>
      </c>
      <c r="AZ534">
        <v>0</v>
      </c>
      <c r="BA534">
        <v>0</v>
      </c>
      <c r="BB534">
        <v>0</v>
      </c>
      <c r="BC534">
        <v>0</v>
      </c>
      <c r="BD534">
        <v>0</v>
      </c>
      <c r="BE534">
        <v>0</v>
      </c>
      <c r="BF534">
        <v>0</v>
      </c>
      <c r="BG534">
        <v>0</v>
      </c>
      <c r="BH534">
        <v>0</v>
      </c>
      <c r="BI534">
        <v>0</v>
      </c>
      <c r="BJ534">
        <v>0</v>
      </c>
      <c r="BK534">
        <v>0</v>
      </c>
      <c r="BL534">
        <v>0</v>
      </c>
      <c r="BM534">
        <v>0</v>
      </c>
      <c r="BN534">
        <v>0</v>
      </c>
      <c r="BO534">
        <v>0</v>
      </c>
      <c r="BP534">
        <v>0</v>
      </c>
      <c r="BQ534">
        <v>0</v>
      </c>
      <c r="BR534">
        <v>0</v>
      </c>
      <c r="BS534">
        <v>0</v>
      </c>
      <c r="BT534">
        <v>0</v>
      </c>
      <c r="BU534">
        <v>0</v>
      </c>
      <c r="BV534">
        <v>0</v>
      </c>
      <c r="BW534">
        <v>0</v>
      </c>
      <c r="BX534">
        <v>0</v>
      </c>
      <c r="BY534">
        <v>0</v>
      </c>
      <c r="BZ534">
        <v>0</v>
      </c>
      <c r="CA534">
        <v>0</v>
      </c>
      <c r="CB534">
        <v>0</v>
      </c>
    </row>
    <row r="535" spans="1:80" x14ac:dyDescent="0.2">
      <c r="A535">
        <v>0</v>
      </c>
      <c r="B535">
        <v>0</v>
      </c>
      <c r="C535">
        <v>0</v>
      </c>
      <c r="D535">
        <v>0</v>
      </c>
      <c r="E535">
        <v>0</v>
      </c>
      <c r="F535">
        <v>0</v>
      </c>
      <c r="G535">
        <v>0</v>
      </c>
      <c r="H535">
        <v>0</v>
      </c>
      <c r="I535">
        <v>0</v>
      </c>
      <c r="J535">
        <v>0</v>
      </c>
      <c r="K535">
        <v>0</v>
      </c>
      <c r="L535">
        <v>0</v>
      </c>
      <c r="M535">
        <v>0</v>
      </c>
      <c r="N535">
        <v>0</v>
      </c>
      <c r="O535">
        <v>0</v>
      </c>
      <c r="P535">
        <v>0</v>
      </c>
      <c r="Q535">
        <v>0</v>
      </c>
      <c r="R535">
        <v>0</v>
      </c>
      <c r="S535">
        <v>0</v>
      </c>
      <c r="T535">
        <v>0</v>
      </c>
      <c r="U535">
        <v>0</v>
      </c>
      <c r="V535">
        <v>0</v>
      </c>
      <c r="W535">
        <v>0</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v>0</v>
      </c>
      <c r="AT535">
        <v>0</v>
      </c>
      <c r="AU535">
        <v>0</v>
      </c>
      <c r="AV535">
        <v>0</v>
      </c>
      <c r="AW535">
        <v>0</v>
      </c>
      <c r="AX535">
        <v>0</v>
      </c>
      <c r="AY535">
        <v>0</v>
      </c>
      <c r="AZ535">
        <v>0</v>
      </c>
      <c r="BA535">
        <v>0</v>
      </c>
      <c r="BB535">
        <v>0</v>
      </c>
      <c r="BC535">
        <v>0</v>
      </c>
      <c r="BD535">
        <v>0</v>
      </c>
      <c r="BE535">
        <v>0</v>
      </c>
      <c r="BF535">
        <v>0</v>
      </c>
      <c r="BG535">
        <v>0</v>
      </c>
      <c r="BH535">
        <v>0</v>
      </c>
      <c r="BI535">
        <v>0</v>
      </c>
      <c r="BJ535">
        <v>0</v>
      </c>
      <c r="BK535">
        <v>0</v>
      </c>
      <c r="BL535">
        <v>0</v>
      </c>
      <c r="BM535">
        <v>0</v>
      </c>
      <c r="BN535">
        <v>0</v>
      </c>
      <c r="BO535">
        <v>0</v>
      </c>
      <c r="BP535">
        <v>0</v>
      </c>
      <c r="BQ535">
        <v>0</v>
      </c>
      <c r="BR535">
        <v>0</v>
      </c>
      <c r="BS535">
        <v>0</v>
      </c>
      <c r="BT535">
        <v>0</v>
      </c>
      <c r="BU535">
        <v>0</v>
      </c>
      <c r="BV535">
        <v>0</v>
      </c>
      <c r="BW535">
        <v>0</v>
      </c>
      <c r="BX535">
        <v>0</v>
      </c>
      <c r="BY535">
        <v>0</v>
      </c>
      <c r="BZ535">
        <v>0</v>
      </c>
      <c r="CA535">
        <v>0</v>
      </c>
      <c r="CB535">
        <v>0</v>
      </c>
    </row>
    <row r="536" spans="1:80" x14ac:dyDescent="0.2">
      <c r="A536">
        <v>0</v>
      </c>
      <c r="B536">
        <v>0</v>
      </c>
      <c r="C536">
        <v>0</v>
      </c>
      <c r="D536">
        <v>0</v>
      </c>
      <c r="E536">
        <v>0</v>
      </c>
      <c r="F536">
        <v>0</v>
      </c>
      <c r="G536">
        <v>0</v>
      </c>
      <c r="H536">
        <v>0</v>
      </c>
      <c r="I536">
        <v>0</v>
      </c>
      <c r="J536">
        <v>0</v>
      </c>
      <c r="K536">
        <v>0</v>
      </c>
      <c r="L536">
        <v>0</v>
      </c>
      <c r="M536">
        <v>0</v>
      </c>
      <c r="N536">
        <v>0</v>
      </c>
      <c r="O536">
        <v>0</v>
      </c>
      <c r="P536">
        <v>0</v>
      </c>
      <c r="Q536">
        <v>0</v>
      </c>
      <c r="R536">
        <v>0</v>
      </c>
      <c r="S536">
        <v>0</v>
      </c>
      <c r="T536">
        <v>0</v>
      </c>
      <c r="U536">
        <v>0</v>
      </c>
      <c r="V536">
        <v>0</v>
      </c>
      <c r="W536">
        <v>0</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v>0</v>
      </c>
      <c r="BA536">
        <v>0</v>
      </c>
      <c r="BB536">
        <v>0</v>
      </c>
      <c r="BC536">
        <v>0</v>
      </c>
      <c r="BD536">
        <v>0</v>
      </c>
      <c r="BE536">
        <v>0</v>
      </c>
      <c r="BF536">
        <v>0</v>
      </c>
      <c r="BG536">
        <v>0</v>
      </c>
      <c r="BH536">
        <v>0</v>
      </c>
      <c r="BI536">
        <v>0</v>
      </c>
      <c r="BJ536">
        <v>0</v>
      </c>
      <c r="BK536">
        <v>0</v>
      </c>
      <c r="BL536">
        <v>0</v>
      </c>
      <c r="BM536">
        <v>0</v>
      </c>
      <c r="BN536">
        <v>0</v>
      </c>
      <c r="BO536">
        <v>0</v>
      </c>
      <c r="BP536">
        <v>0</v>
      </c>
      <c r="BQ536">
        <v>0</v>
      </c>
      <c r="BR536">
        <v>0</v>
      </c>
      <c r="BS536">
        <v>0</v>
      </c>
      <c r="BT536">
        <v>0</v>
      </c>
      <c r="BU536">
        <v>0</v>
      </c>
      <c r="BV536">
        <v>0</v>
      </c>
      <c r="BW536">
        <v>0</v>
      </c>
      <c r="BX536">
        <v>0</v>
      </c>
      <c r="BY536">
        <v>0</v>
      </c>
      <c r="BZ536">
        <v>0</v>
      </c>
      <c r="CA536">
        <v>0</v>
      </c>
      <c r="CB536">
        <v>0</v>
      </c>
    </row>
    <row r="537" spans="1:80" x14ac:dyDescent="0.2">
      <c r="A537">
        <v>0</v>
      </c>
      <c r="B537">
        <v>0</v>
      </c>
      <c r="C537">
        <v>0</v>
      </c>
      <c r="D537">
        <v>0</v>
      </c>
      <c r="E537">
        <v>0</v>
      </c>
      <c r="F537">
        <v>0</v>
      </c>
      <c r="G537">
        <v>0</v>
      </c>
      <c r="H537">
        <v>0</v>
      </c>
      <c r="I537">
        <v>0</v>
      </c>
      <c r="J537">
        <v>0</v>
      </c>
      <c r="K537">
        <v>0</v>
      </c>
      <c r="L537">
        <v>0</v>
      </c>
      <c r="M537">
        <v>0</v>
      </c>
      <c r="N537">
        <v>0</v>
      </c>
      <c r="O537">
        <v>0</v>
      </c>
      <c r="P537">
        <v>0</v>
      </c>
      <c r="Q537">
        <v>0</v>
      </c>
      <c r="R537">
        <v>0</v>
      </c>
      <c r="S537">
        <v>0</v>
      </c>
      <c r="T537">
        <v>0</v>
      </c>
      <c r="U537">
        <v>0</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v>0</v>
      </c>
      <c r="BA537">
        <v>0</v>
      </c>
      <c r="BB537">
        <v>0</v>
      </c>
      <c r="BC537">
        <v>0</v>
      </c>
      <c r="BD537">
        <v>0</v>
      </c>
      <c r="BE537">
        <v>0</v>
      </c>
      <c r="BF537">
        <v>0</v>
      </c>
      <c r="BG537">
        <v>0</v>
      </c>
      <c r="BH537">
        <v>0</v>
      </c>
      <c r="BI537">
        <v>0</v>
      </c>
      <c r="BJ537">
        <v>0</v>
      </c>
      <c r="BK537">
        <v>0</v>
      </c>
      <c r="BL537">
        <v>0</v>
      </c>
      <c r="BM537">
        <v>0</v>
      </c>
      <c r="BN537">
        <v>0</v>
      </c>
      <c r="BO537">
        <v>0</v>
      </c>
      <c r="BP537">
        <v>0</v>
      </c>
      <c r="BQ537">
        <v>0</v>
      </c>
      <c r="BR537">
        <v>0</v>
      </c>
      <c r="BS537">
        <v>0</v>
      </c>
      <c r="BT537">
        <v>0</v>
      </c>
      <c r="BU537">
        <v>0</v>
      </c>
      <c r="BV537">
        <v>0</v>
      </c>
      <c r="BW537">
        <v>0</v>
      </c>
      <c r="BX537">
        <v>0</v>
      </c>
      <c r="BY537">
        <v>0</v>
      </c>
      <c r="BZ537">
        <v>0</v>
      </c>
      <c r="CA537">
        <v>0</v>
      </c>
      <c r="CB537">
        <v>0</v>
      </c>
    </row>
    <row r="538" spans="1:80" x14ac:dyDescent="0.2">
      <c r="A538">
        <v>0</v>
      </c>
      <c r="B538">
        <v>0</v>
      </c>
      <c r="C538">
        <v>0</v>
      </c>
      <c r="D538">
        <v>0</v>
      </c>
      <c r="E538">
        <v>0</v>
      </c>
      <c r="F538">
        <v>0</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0</v>
      </c>
      <c r="BU538">
        <v>0</v>
      </c>
      <c r="BV538">
        <v>0</v>
      </c>
      <c r="BW538">
        <v>0</v>
      </c>
      <c r="BX538">
        <v>0</v>
      </c>
      <c r="BY538">
        <v>0</v>
      </c>
      <c r="BZ538">
        <v>0</v>
      </c>
      <c r="CA538">
        <v>0</v>
      </c>
      <c r="CB538">
        <v>0</v>
      </c>
    </row>
    <row r="539" spans="1:80" x14ac:dyDescent="0.2">
      <c r="A539">
        <v>0</v>
      </c>
      <c r="B539">
        <v>0</v>
      </c>
      <c r="C539">
        <v>0</v>
      </c>
      <c r="D539">
        <v>0</v>
      </c>
      <c r="E539">
        <v>0</v>
      </c>
      <c r="F539">
        <v>0</v>
      </c>
      <c r="G539">
        <v>0</v>
      </c>
      <c r="H539">
        <v>0</v>
      </c>
      <c r="I539">
        <v>0</v>
      </c>
      <c r="J539">
        <v>0</v>
      </c>
      <c r="K539">
        <v>0</v>
      </c>
      <c r="L539">
        <v>0</v>
      </c>
      <c r="M539">
        <v>0</v>
      </c>
      <c r="N539">
        <v>0</v>
      </c>
      <c r="O539">
        <v>0</v>
      </c>
      <c r="P539">
        <v>0</v>
      </c>
      <c r="Q539">
        <v>0</v>
      </c>
      <c r="R539">
        <v>0</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v>0</v>
      </c>
      <c r="BN539">
        <v>0</v>
      </c>
      <c r="BO539">
        <v>0</v>
      </c>
      <c r="BP539">
        <v>0</v>
      </c>
      <c r="BQ539">
        <v>0</v>
      </c>
      <c r="BR539">
        <v>0</v>
      </c>
      <c r="BS539">
        <v>0</v>
      </c>
      <c r="BT539">
        <v>0</v>
      </c>
      <c r="BU539">
        <v>0</v>
      </c>
      <c r="BV539">
        <v>0</v>
      </c>
      <c r="BW539">
        <v>0</v>
      </c>
      <c r="BX539">
        <v>0</v>
      </c>
      <c r="BY539">
        <v>0</v>
      </c>
      <c r="BZ539">
        <v>0</v>
      </c>
      <c r="CA539">
        <v>0</v>
      </c>
      <c r="CB539">
        <v>0</v>
      </c>
    </row>
    <row r="540" spans="1:80" x14ac:dyDescent="0.2">
      <c r="A540">
        <v>0</v>
      </c>
      <c r="B540">
        <v>0</v>
      </c>
      <c r="C540">
        <v>0</v>
      </c>
      <c r="D540">
        <v>0</v>
      </c>
      <c r="E540">
        <v>0</v>
      </c>
      <c r="F540">
        <v>0</v>
      </c>
      <c r="G540">
        <v>0</v>
      </c>
      <c r="H540">
        <v>0</v>
      </c>
      <c r="I540">
        <v>0</v>
      </c>
      <c r="J540">
        <v>0</v>
      </c>
      <c r="K540">
        <v>0</v>
      </c>
      <c r="L540">
        <v>0</v>
      </c>
      <c r="M540">
        <v>0</v>
      </c>
      <c r="N540">
        <v>0</v>
      </c>
      <c r="O540">
        <v>0</v>
      </c>
      <c r="P540">
        <v>0</v>
      </c>
      <c r="Q540">
        <v>0</v>
      </c>
      <c r="R540">
        <v>0</v>
      </c>
      <c r="S540">
        <v>0</v>
      </c>
      <c r="T540">
        <v>0</v>
      </c>
      <c r="U540">
        <v>0</v>
      </c>
      <c r="V540">
        <v>0</v>
      </c>
      <c r="W540">
        <v>0</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v>0</v>
      </c>
      <c r="AS540">
        <v>0</v>
      </c>
      <c r="AT540">
        <v>0</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v>0</v>
      </c>
      <c r="BN540">
        <v>0</v>
      </c>
      <c r="BO540">
        <v>0</v>
      </c>
      <c r="BP540">
        <v>0</v>
      </c>
      <c r="BQ540">
        <v>0</v>
      </c>
      <c r="BR540">
        <v>0</v>
      </c>
      <c r="BS540">
        <v>0</v>
      </c>
      <c r="BT540">
        <v>0</v>
      </c>
      <c r="BU540">
        <v>0</v>
      </c>
      <c r="BV540">
        <v>0</v>
      </c>
      <c r="BW540">
        <v>0</v>
      </c>
      <c r="BX540">
        <v>0</v>
      </c>
      <c r="BY540">
        <v>0</v>
      </c>
      <c r="BZ540">
        <v>0</v>
      </c>
      <c r="CA540">
        <v>0</v>
      </c>
      <c r="CB540">
        <v>0</v>
      </c>
    </row>
    <row r="541" spans="1:80" x14ac:dyDescent="0.2">
      <c r="A541">
        <v>0</v>
      </c>
      <c r="B541">
        <v>0</v>
      </c>
      <c r="C541">
        <v>0</v>
      </c>
      <c r="D541">
        <v>0</v>
      </c>
      <c r="E541">
        <v>0</v>
      </c>
      <c r="F541">
        <v>0</v>
      </c>
      <c r="G541">
        <v>0</v>
      </c>
      <c r="H541">
        <v>0</v>
      </c>
      <c r="I541">
        <v>0</v>
      </c>
      <c r="J541">
        <v>0</v>
      </c>
      <c r="K541">
        <v>0</v>
      </c>
      <c r="L541">
        <v>0</v>
      </c>
      <c r="M541">
        <v>0</v>
      </c>
      <c r="N541">
        <v>0</v>
      </c>
      <c r="O541">
        <v>0</v>
      </c>
      <c r="P541">
        <v>0</v>
      </c>
      <c r="Q541">
        <v>0</v>
      </c>
      <c r="R541">
        <v>0</v>
      </c>
      <c r="S541">
        <v>0</v>
      </c>
      <c r="T541">
        <v>0</v>
      </c>
      <c r="U541">
        <v>0</v>
      </c>
      <c r="V541">
        <v>0</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v>0</v>
      </c>
      <c r="BA541">
        <v>0</v>
      </c>
      <c r="BB541">
        <v>0</v>
      </c>
      <c r="BC541">
        <v>0</v>
      </c>
      <c r="BD541">
        <v>0</v>
      </c>
      <c r="BE541">
        <v>0</v>
      </c>
      <c r="BF541">
        <v>0</v>
      </c>
      <c r="BG541">
        <v>0</v>
      </c>
      <c r="BH541">
        <v>0</v>
      </c>
      <c r="BI541">
        <v>0</v>
      </c>
      <c r="BJ541">
        <v>0</v>
      </c>
      <c r="BK541">
        <v>0</v>
      </c>
      <c r="BL541">
        <v>0</v>
      </c>
      <c r="BM541">
        <v>0</v>
      </c>
      <c r="BN541">
        <v>0</v>
      </c>
      <c r="BO541">
        <v>0</v>
      </c>
      <c r="BP541">
        <v>0</v>
      </c>
      <c r="BQ541">
        <v>0</v>
      </c>
      <c r="BR541">
        <v>0</v>
      </c>
      <c r="BS541">
        <v>0</v>
      </c>
      <c r="BT541">
        <v>0</v>
      </c>
      <c r="BU541">
        <v>0</v>
      </c>
      <c r="BV541">
        <v>0</v>
      </c>
      <c r="BW541">
        <v>0</v>
      </c>
      <c r="BX541">
        <v>0</v>
      </c>
      <c r="BY541">
        <v>0</v>
      </c>
      <c r="BZ541">
        <v>0</v>
      </c>
      <c r="CA541">
        <v>0</v>
      </c>
      <c r="CB541">
        <v>0</v>
      </c>
    </row>
    <row r="542" spans="1:80" x14ac:dyDescent="0.2">
      <c r="A542">
        <v>0</v>
      </c>
      <c r="B542">
        <v>0</v>
      </c>
      <c r="C542">
        <v>0</v>
      </c>
      <c r="D542">
        <v>0</v>
      </c>
      <c r="E542">
        <v>0</v>
      </c>
      <c r="F542">
        <v>0</v>
      </c>
      <c r="G542">
        <v>0</v>
      </c>
      <c r="H542">
        <v>0</v>
      </c>
      <c r="I542">
        <v>0</v>
      </c>
      <c r="J542">
        <v>0</v>
      </c>
      <c r="K542">
        <v>0</v>
      </c>
      <c r="L542">
        <v>0</v>
      </c>
      <c r="M542">
        <v>0</v>
      </c>
      <c r="N542">
        <v>0</v>
      </c>
      <c r="O542">
        <v>0</v>
      </c>
      <c r="P542">
        <v>0</v>
      </c>
      <c r="Q542">
        <v>0</v>
      </c>
      <c r="R542">
        <v>0</v>
      </c>
      <c r="S542">
        <v>0</v>
      </c>
      <c r="T542">
        <v>0</v>
      </c>
      <c r="U542">
        <v>0</v>
      </c>
      <c r="V542">
        <v>0</v>
      </c>
      <c r="W542">
        <v>0</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c r="AT542">
        <v>0</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v>0</v>
      </c>
      <c r="BN542">
        <v>0</v>
      </c>
      <c r="BO542">
        <v>0</v>
      </c>
      <c r="BP542">
        <v>0</v>
      </c>
      <c r="BQ542">
        <v>0</v>
      </c>
      <c r="BR542">
        <v>0</v>
      </c>
      <c r="BS542">
        <v>0</v>
      </c>
      <c r="BT542">
        <v>0</v>
      </c>
      <c r="BU542">
        <v>0</v>
      </c>
      <c r="BV542">
        <v>0</v>
      </c>
      <c r="BW542">
        <v>0</v>
      </c>
      <c r="BX542">
        <v>0</v>
      </c>
      <c r="BY542">
        <v>0</v>
      </c>
      <c r="BZ542">
        <v>0</v>
      </c>
      <c r="CA542">
        <v>0</v>
      </c>
      <c r="CB542">
        <v>0</v>
      </c>
    </row>
    <row r="543" spans="1:80" x14ac:dyDescent="0.2">
      <c r="A543">
        <v>0</v>
      </c>
      <c r="B543">
        <v>0</v>
      </c>
      <c r="C543">
        <v>0</v>
      </c>
      <c r="D543">
        <v>0</v>
      </c>
      <c r="E543">
        <v>0</v>
      </c>
      <c r="F543">
        <v>0</v>
      </c>
      <c r="G543">
        <v>0</v>
      </c>
      <c r="H543">
        <v>0</v>
      </c>
      <c r="I543">
        <v>0</v>
      </c>
      <c r="J543">
        <v>0</v>
      </c>
      <c r="K543">
        <v>0</v>
      </c>
      <c r="L543">
        <v>0</v>
      </c>
      <c r="M543">
        <v>0</v>
      </c>
      <c r="N543">
        <v>0</v>
      </c>
      <c r="O543">
        <v>0</v>
      </c>
      <c r="P543">
        <v>0</v>
      </c>
      <c r="Q543">
        <v>0</v>
      </c>
      <c r="R543">
        <v>0</v>
      </c>
      <c r="S543">
        <v>0</v>
      </c>
      <c r="T543">
        <v>0</v>
      </c>
      <c r="U543">
        <v>0</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v>0</v>
      </c>
      <c r="BA543">
        <v>0</v>
      </c>
      <c r="BB543">
        <v>0</v>
      </c>
      <c r="BC543">
        <v>0</v>
      </c>
      <c r="BD543">
        <v>0</v>
      </c>
      <c r="BE543">
        <v>0</v>
      </c>
      <c r="BF543">
        <v>0</v>
      </c>
      <c r="BG543">
        <v>0</v>
      </c>
      <c r="BH543">
        <v>0</v>
      </c>
      <c r="BI543">
        <v>0</v>
      </c>
      <c r="BJ543">
        <v>0</v>
      </c>
      <c r="BK543">
        <v>0</v>
      </c>
      <c r="BL543">
        <v>0</v>
      </c>
      <c r="BM543">
        <v>0</v>
      </c>
      <c r="BN543">
        <v>0</v>
      </c>
      <c r="BO543">
        <v>0</v>
      </c>
      <c r="BP543">
        <v>0</v>
      </c>
      <c r="BQ543">
        <v>0</v>
      </c>
      <c r="BR543">
        <v>0</v>
      </c>
      <c r="BS543">
        <v>0</v>
      </c>
      <c r="BT543">
        <v>0</v>
      </c>
      <c r="BU543">
        <v>0</v>
      </c>
      <c r="BV543">
        <v>0</v>
      </c>
      <c r="BW543">
        <v>0</v>
      </c>
      <c r="BX543">
        <v>0</v>
      </c>
      <c r="BY543">
        <v>0</v>
      </c>
      <c r="BZ543">
        <v>0</v>
      </c>
      <c r="CA543">
        <v>0</v>
      </c>
      <c r="CB543">
        <v>0</v>
      </c>
    </row>
    <row r="544" spans="1:80" x14ac:dyDescent="0.2">
      <c r="A544">
        <v>0</v>
      </c>
      <c r="B544">
        <v>0</v>
      </c>
      <c r="C544">
        <v>0</v>
      </c>
      <c r="D544">
        <v>0</v>
      </c>
      <c r="E544">
        <v>0</v>
      </c>
      <c r="F544">
        <v>0</v>
      </c>
      <c r="G544">
        <v>0</v>
      </c>
      <c r="H544">
        <v>0</v>
      </c>
      <c r="I544">
        <v>0</v>
      </c>
      <c r="J544">
        <v>0</v>
      </c>
      <c r="K544">
        <v>0</v>
      </c>
      <c r="L544">
        <v>0</v>
      </c>
      <c r="M544">
        <v>0</v>
      </c>
      <c r="N544">
        <v>0</v>
      </c>
      <c r="O544">
        <v>0</v>
      </c>
      <c r="P544">
        <v>0</v>
      </c>
      <c r="Q544">
        <v>0</v>
      </c>
      <c r="R544">
        <v>0</v>
      </c>
      <c r="S544">
        <v>0</v>
      </c>
      <c r="T544">
        <v>0</v>
      </c>
      <c r="U544">
        <v>0</v>
      </c>
      <c r="V544">
        <v>0</v>
      </c>
      <c r="W544">
        <v>0</v>
      </c>
      <c r="X544">
        <v>0</v>
      </c>
      <c r="Y544">
        <v>0</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v>0</v>
      </c>
      <c r="BN544">
        <v>0</v>
      </c>
      <c r="BO544">
        <v>0</v>
      </c>
      <c r="BP544">
        <v>0</v>
      </c>
      <c r="BQ544">
        <v>0</v>
      </c>
      <c r="BR544">
        <v>0</v>
      </c>
      <c r="BS544">
        <v>0</v>
      </c>
      <c r="BT544">
        <v>0</v>
      </c>
      <c r="BU544">
        <v>0</v>
      </c>
      <c r="BV544">
        <v>0</v>
      </c>
      <c r="BW544">
        <v>0</v>
      </c>
      <c r="BX544">
        <v>0</v>
      </c>
      <c r="BY544">
        <v>0</v>
      </c>
      <c r="BZ544">
        <v>0</v>
      </c>
      <c r="CA544">
        <v>0</v>
      </c>
      <c r="CB544">
        <v>0</v>
      </c>
    </row>
    <row r="545" spans="1:80" x14ac:dyDescent="0.2">
      <c r="A545">
        <v>0</v>
      </c>
      <c r="B545">
        <v>0</v>
      </c>
      <c r="C545">
        <v>0</v>
      </c>
      <c r="D545">
        <v>0</v>
      </c>
      <c r="E545">
        <v>0</v>
      </c>
      <c r="F545">
        <v>0</v>
      </c>
      <c r="G545">
        <v>0</v>
      </c>
      <c r="H545">
        <v>0</v>
      </c>
      <c r="I545">
        <v>0</v>
      </c>
      <c r="J545">
        <v>0</v>
      </c>
      <c r="K545">
        <v>0</v>
      </c>
      <c r="L545">
        <v>0</v>
      </c>
      <c r="M545">
        <v>0</v>
      </c>
      <c r="N545">
        <v>0</v>
      </c>
      <c r="O545">
        <v>0</v>
      </c>
      <c r="P545">
        <v>0</v>
      </c>
      <c r="Q545">
        <v>0</v>
      </c>
      <c r="R545">
        <v>0</v>
      </c>
      <c r="S545">
        <v>0</v>
      </c>
      <c r="T545">
        <v>0</v>
      </c>
      <c r="U545">
        <v>0</v>
      </c>
      <c r="V545">
        <v>0</v>
      </c>
      <c r="W545">
        <v>0</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0</v>
      </c>
      <c r="AS545">
        <v>0</v>
      </c>
      <c r="AT545">
        <v>0</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v>0</v>
      </c>
      <c r="BN545">
        <v>0</v>
      </c>
      <c r="BO545">
        <v>0</v>
      </c>
      <c r="BP545">
        <v>0</v>
      </c>
      <c r="BQ545">
        <v>0</v>
      </c>
      <c r="BR545">
        <v>0</v>
      </c>
      <c r="BS545">
        <v>0</v>
      </c>
      <c r="BT545">
        <v>0</v>
      </c>
      <c r="BU545">
        <v>0</v>
      </c>
      <c r="BV545">
        <v>0</v>
      </c>
      <c r="BW545">
        <v>0</v>
      </c>
      <c r="BX545">
        <v>0</v>
      </c>
      <c r="BY545">
        <v>0</v>
      </c>
      <c r="BZ545">
        <v>0</v>
      </c>
      <c r="CA545">
        <v>0</v>
      </c>
      <c r="CB545">
        <v>0</v>
      </c>
    </row>
    <row r="546" spans="1:80" x14ac:dyDescent="0.2">
      <c r="A546">
        <v>0</v>
      </c>
      <c r="B546">
        <v>0</v>
      </c>
      <c r="C546">
        <v>0</v>
      </c>
      <c r="D546">
        <v>0</v>
      </c>
      <c r="E546">
        <v>0</v>
      </c>
      <c r="F546">
        <v>0</v>
      </c>
      <c r="G546">
        <v>0</v>
      </c>
      <c r="H546">
        <v>0</v>
      </c>
      <c r="I546">
        <v>0</v>
      </c>
      <c r="J546">
        <v>0</v>
      </c>
      <c r="K546">
        <v>0</v>
      </c>
      <c r="L546">
        <v>0</v>
      </c>
      <c r="M546">
        <v>0</v>
      </c>
      <c r="N546">
        <v>0</v>
      </c>
      <c r="O546">
        <v>0</v>
      </c>
      <c r="P546">
        <v>0</v>
      </c>
      <c r="Q546">
        <v>0</v>
      </c>
      <c r="R546">
        <v>0</v>
      </c>
      <c r="S546">
        <v>0</v>
      </c>
      <c r="T546">
        <v>0</v>
      </c>
      <c r="U546">
        <v>0</v>
      </c>
      <c r="V546">
        <v>0</v>
      </c>
      <c r="W546">
        <v>0</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v>0</v>
      </c>
      <c r="AT546">
        <v>0</v>
      </c>
      <c r="AU546">
        <v>0</v>
      </c>
      <c r="AV546">
        <v>0</v>
      </c>
      <c r="AW546">
        <v>0</v>
      </c>
      <c r="AX546">
        <v>0</v>
      </c>
      <c r="AY546">
        <v>0</v>
      </c>
      <c r="AZ546">
        <v>0</v>
      </c>
      <c r="BA546">
        <v>0</v>
      </c>
      <c r="BB546">
        <v>0</v>
      </c>
      <c r="BC546">
        <v>0</v>
      </c>
      <c r="BD546">
        <v>0</v>
      </c>
      <c r="BE546">
        <v>0</v>
      </c>
      <c r="BF546">
        <v>0</v>
      </c>
      <c r="BG546">
        <v>0</v>
      </c>
      <c r="BH546">
        <v>0</v>
      </c>
      <c r="BI546">
        <v>0</v>
      </c>
      <c r="BJ546">
        <v>0</v>
      </c>
      <c r="BK546">
        <v>0</v>
      </c>
      <c r="BL546">
        <v>0</v>
      </c>
      <c r="BM546">
        <v>0</v>
      </c>
      <c r="BN546">
        <v>0</v>
      </c>
      <c r="BO546">
        <v>0</v>
      </c>
      <c r="BP546">
        <v>0</v>
      </c>
      <c r="BQ546">
        <v>0</v>
      </c>
      <c r="BR546">
        <v>0</v>
      </c>
      <c r="BS546">
        <v>0</v>
      </c>
      <c r="BT546">
        <v>0</v>
      </c>
      <c r="BU546">
        <v>0</v>
      </c>
      <c r="BV546">
        <v>0</v>
      </c>
      <c r="BW546">
        <v>0</v>
      </c>
      <c r="BX546">
        <v>0</v>
      </c>
      <c r="BY546">
        <v>0</v>
      </c>
      <c r="BZ546">
        <v>0</v>
      </c>
      <c r="CA546">
        <v>0</v>
      </c>
      <c r="CB546">
        <v>0</v>
      </c>
    </row>
    <row r="547" spans="1:80" x14ac:dyDescent="0.2">
      <c r="A547">
        <v>0</v>
      </c>
      <c r="B547">
        <v>0</v>
      </c>
      <c r="C547">
        <v>0</v>
      </c>
      <c r="D547">
        <v>0</v>
      </c>
      <c r="E547">
        <v>0</v>
      </c>
      <c r="F547">
        <v>0</v>
      </c>
      <c r="G547">
        <v>0</v>
      </c>
      <c r="H547">
        <v>0</v>
      </c>
      <c r="I547">
        <v>0</v>
      </c>
      <c r="J547">
        <v>0</v>
      </c>
      <c r="K547">
        <v>0</v>
      </c>
      <c r="L547">
        <v>0</v>
      </c>
      <c r="M547">
        <v>0</v>
      </c>
      <c r="N547">
        <v>0</v>
      </c>
      <c r="O547">
        <v>0</v>
      </c>
      <c r="P547">
        <v>0</v>
      </c>
      <c r="Q547">
        <v>0</v>
      </c>
      <c r="R547">
        <v>0</v>
      </c>
      <c r="S547">
        <v>0</v>
      </c>
      <c r="T547">
        <v>0</v>
      </c>
      <c r="U547">
        <v>0</v>
      </c>
      <c r="V547">
        <v>0</v>
      </c>
      <c r="W547">
        <v>0</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v>
      </c>
      <c r="AT547">
        <v>0</v>
      </c>
      <c r="AU547">
        <v>0</v>
      </c>
      <c r="AV547">
        <v>0</v>
      </c>
      <c r="AW547">
        <v>0</v>
      </c>
      <c r="AX547">
        <v>0</v>
      </c>
      <c r="AY547">
        <v>0</v>
      </c>
      <c r="AZ547">
        <v>0</v>
      </c>
      <c r="BA547">
        <v>0</v>
      </c>
      <c r="BB547">
        <v>0</v>
      </c>
      <c r="BC547">
        <v>0</v>
      </c>
      <c r="BD547">
        <v>0</v>
      </c>
      <c r="BE547">
        <v>0</v>
      </c>
      <c r="BF547">
        <v>0</v>
      </c>
      <c r="BG547">
        <v>0</v>
      </c>
      <c r="BH547">
        <v>0</v>
      </c>
      <c r="BI547">
        <v>0</v>
      </c>
      <c r="BJ547">
        <v>0</v>
      </c>
      <c r="BK547">
        <v>0</v>
      </c>
      <c r="BL547">
        <v>0</v>
      </c>
      <c r="BM547">
        <v>0</v>
      </c>
      <c r="BN547">
        <v>0</v>
      </c>
      <c r="BO547">
        <v>0</v>
      </c>
      <c r="BP547">
        <v>0</v>
      </c>
      <c r="BQ547">
        <v>0</v>
      </c>
      <c r="BR547">
        <v>0</v>
      </c>
      <c r="BS547">
        <v>0</v>
      </c>
      <c r="BT547">
        <v>0</v>
      </c>
      <c r="BU547">
        <v>0</v>
      </c>
      <c r="BV547">
        <v>0</v>
      </c>
      <c r="BW547">
        <v>0</v>
      </c>
      <c r="BX547">
        <v>0</v>
      </c>
      <c r="BY547">
        <v>0</v>
      </c>
      <c r="BZ547">
        <v>0</v>
      </c>
      <c r="CA547">
        <v>0</v>
      </c>
      <c r="CB547">
        <v>0</v>
      </c>
    </row>
    <row r="548" spans="1:80" x14ac:dyDescent="0.2">
      <c r="A548">
        <v>0</v>
      </c>
      <c r="B548">
        <v>0</v>
      </c>
      <c r="C548">
        <v>0</v>
      </c>
      <c r="D548">
        <v>0</v>
      </c>
      <c r="E548">
        <v>0</v>
      </c>
      <c r="F548">
        <v>0</v>
      </c>
      <c r="G548">
        <v>0</v>
      </c>
      <c r="H548">
        <v>0</v>
      </c>
      <c r="I548">
        <v>0</v>
      </c>
      <c r="J548">
        <v>0</v>
      </c>
      <c r="K548">
        <v>0</v>
      </c>
      <c r="L548">
        <v>0</v>
      </c>
      <c r="M548">
        <v>0</v>
      </c>
      <c r="N548">
        <v>0</v>
      </c>
      <c r="O548">
        <v>0</v>
      </c>
      <c r="P548">
        <v>0</v>
      </c>
      <c r="Q548">
        <v>0</v>
      </c>
      <c r="R548">
        <v>0</v>
      </c>
      <c r="S548">
        <v>0</v>
      </c>
      <c r="T548">
        <v>0</v>
      </c>
      <c r="U548">
        <v>0</v>
      </c>
      <c r="V548">
        <v>0</v>
      </c>
      <c r="W548">
        <v>0</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v>0</v>
      </c>
      <c r="AS548">
        <v>0</v>
      </c>
      <c r="AT548">
        <v>0</v>
      </c>
      <c r="AU548">
        <v>0</v>
      </c>
      <c r="AV548">
        <v>0</v>
      </c>
      <c r="AW548">
        <v>0</v>
      </c>
      <c r="AX548">
        <v>0</v>
      </c>
      <c r="AY548">
        <v>0</v>
      </c>
      <c r="AZ548">
        <v>0</v>
      </c>
      <c r="BA548">
        <v>0</v>
      </c>
      <c r="BB548">
        <v>0</v>
      </c>
      <c r="BC548">
        <v>0</v>
      </c>
      <c r="BD548">
        <v>0</v>
      </c>
      <c r="BE548">
        <v>0</v>
      </c>
      <c r="BF548">
        <v>0</v>
      </c>
      <c r="BG548">
        <v>0</v>
      </c>
      <c r="BH548">
        <v>0</v>
      </c>
      <c r="BI548">
        <v>0</v>
      </c>
      <c r="BJ548">
        <v>0</v>
      </c>
      <c r="BK548">
        <v>0</v>
      </c>
      <c r="BL548">
        <v>0</v>
      </c>
      <c r="BM548">
        <v>0</v>
      </c>
      <c r="BN548">
        <v>0</v>
      </c>
      <c r="BO548">
        <v>0</v>
      </c>
      <c r="BP548">
        <v>0</v>
      </c>
      <c r="BQ548">
        <v>0</v>
      </c>
      <c r="BR548">
        <v>0</v>
      </c>
      <c r="BS548">
        <v>0</v>
      </c>
      <c r="BT548">
        <v>0</v>
      </c>
      <c r="BU548">
        <v>0</v>
      </c>
      <c r="BV548">
        <v>0</v>
      </c>
      <c r="BW548">
        <v>0</v>
      </c>
      <c r="BX548">
        <v>0</v>
      </c>
      <c r="BY548">
        <v>0</v>
      </c>
      <c r="BZ548">
        <v>0</v>
      </c>
      <c r="CA548">
        <v>0</v>
      </c>
      <c r="CB548">
        <v>0</v>
      </c>
    </row>
    <row r="549" spans="1:80" x14ac:dyDescent="0.2">
      <c r="A549">
        <v>0</v>
      </c>
      <c r="B549">
        <v>0</v>
      </c>
      <c r="C549">
        <v>0</v>
      </c>
      <c r="D549">
        <v>0</v>
      </c>
      <c r="E549">
        <v>0</v>
      </c>
      <c r="F549">
        <v>0</v>
      </c>
      <c r="G549">
        <v>0</v>
      </c>
      <c r="H549">
        <v>0</v>
      </c>
      <c r="I549">
        <v>0</v>
      </c>
      <c r="J549">
        <v>0</v>
      </c>
      <c r="K549">
        <v>0</v>
      </c>
      <c r="L549">
        <v>0</v>
      </c>
      <c r="M549">
        <v>0</v>
      </c>
      <c r="N549">
        <v>0</v>
      </c>
      <c r="O549">
        <v>0</v>
      </c>
      <c r="P549">
        <v>0</v>
      </c>
      <c r="Q549">
        <v>0</v>
      </c>
      <c r="R549">
        <v>0</v>
      </c>
      <c r="S549">
        <v>0</v>
      </c>
      <c r="T549">
        <v>0</v>
      </c>
      <c r="U549">
        <v>0</v>
      </c>
      <c r="V549">
        <v>0</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v>0</v>
      </c>
      <c r="BN549">
        <v>0</v>
      </c>
      <c r="BO549">
        <v>0</v>
      </c>
      <c r="BP549">
        <v>0</v>
      </c>
      <c r="BQ549">
        <v>0</v>
      </c>
      <c r="BR549">
        <v>0</v>
      </c>
      <c r="BS549">
        <v>0</v>
      </c>
      <c r="BT549">
        <v>0</v>
      </c>
      <c r="BU549">
        <v>0</v>
      </c>
      <c r="BV549">
        <v>0</v>
      </c>
      <c r="BW549">
        <v>0</v>
      </c>
      <c r="BX549">
        <v>0</v>
      </c>
      <c r="BY549">
        <v>0</v>
      </c>
      <c r="BZ549">
        <v>0</v>
      </c>
      <c r="CA549">
        <v>0</v>
      </c>
      <c r="CB549">
        <v>0</v>
      </c>
    </row>
    <row r="550" spans="1:80" x14ac:dyDescent="0.2">
      <c r="A550">
        <v>0</v>
      </c>
      <c r="B550">
        <v>0</v>
      </c>
      <c r="C550">
        <v>0</v>
      </c>
      <c r="D550">
        <v>0</v>
      </c>
      <c r="E550">
        <v>0</v>
      </c>
      <c r="F550">
        <v>0</v>
      </c>
      <c r="G550">
        <v>0</v>
      </c>
      <c r="H550">
        <v>0</v>
      </c>
      <c r="I550">
        <v>0</v>
      </c>
      <c r="J550">
        <v>0</v>
      </c>
      <c r="K550">
        <v>0</v>
      </c>
      <c r="L550">
        <v>0</v>
      </c>
      <c r="M550">
        <v>0</v>
      </c>
      <c r="N550">
        <v>0</v>
      </c>
      <c r="O550">
        <v>0</v>
      </c>
      <c r="P550">
        <v>0</v>
      </c>
      <c r="Q550">
        <v>0</v>
      </c>
      <c r="R550">
        <v>0</v>
      </c>
      <c r="S550">
        <v>0</v>
      </c>
      <c r="T550">
        <v>0</v>
      </c>
      <c r="U550">
        <v>0</v>
      </c>
      <c r="V550">
        <v>0</v>
      </c>
      <c r="W550">
        <v>0</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v>0</v>
      </c>
      <c r="AW550">
        <v>0</v>
      </c>
      <c r="AX550">
        <v>0</v>
      </c>
      <c r="AY550">
        <v>0</v>
      </c>
      <c r="AZ550">
        <v>0</v>
      </c>
      <c r="BA550">
        <v>0</v>
      </c>
      <c r="BB550">
        <v>0</v>
      </c>
      <c r="BC550">
        <v>0</v>
      </c>
      <c r="BD550">
        <v>0</v>
      </c>
      <c r="BE550">
        <v>0</v>
      </c>
      <c r="BF550">
        <v>0</v>
      </c>
      <c r="BG550">
        <v>0</v>
      </c>
      <c r="BH550">
        <v>0</v>
      </c>
      <c r="BI550">
        <v>0</v>
      </c>
      <c r="BJ550">
        <v>0</v>
      </c>
      <c r="BK550">
        <v>0</v>
      </c>
      <c r="BL550">
        <v>0</v>
      </c>
      <c r="BM550">
        <v>0</v>
      </c>
      <c r="BN550">
        <v>0</v>
      </c>
      <c r="BO550">
        <v>0</v>
      </c>
      <c r="BP550">
        <v>0</v>
      </c>
      <c r="BQ550">
        <v>0</v>
      </c>
      <c r="BR550">
        <v>0</v>
      </c>
      <c r="BS550">
        <v>0</v>
      </c>
      <c r="BT550">
        <v>0</v>
      </c>
      <c r="BU550">
        <v>0</v>
      </c>
      <c r="BV550">
        <v>0</v>
      </c>
      <c r="BW550">
        <v>0</v>
      </c>
      <c r="BX550">
        <v>0</v>
      </c>
      <c r="BY550">
        <v>0</v>
      </c>
      <c r="BZ550">
        <v>0</v>
      </c>
      <c r="CA550">
        <v>0</v>
      </c>
      <c r="CB550">
        <v>0</v>
      </c>
    </row>
    <row r="551" spans="1:80" x14ac:dyDescent="0.2">
      <c r="A551">
        <v>0</v>
      </c>
      <c r="B551">
        <v>0</v>
      </c>
      <c r="C551">
        <v>0</v>
      </c>
      <c r="D551">
        <v>0</v>
      </c>
      <c r="E551">
        <v>0</v>
      </c>
      <c r="F551">
        <v>0</v>
      </c>
      <c r="G551">
        <v>0</v>
      </c>
      <c r="H551">
        <v>0</v>
      </c>
      <c r="I551">
        <v>0</v>
      </c>
      <c r="J551">
        <v>0</v>
      </c>
      <c r="K551">
        <v>0</v>
      </c>
      <c r="L551">
        <v>0</v>
      </c>
      <c r="M551">
        <v>0</v>
      </c>
      <c r="N551">
        <v>0</v>
      </c>
      <c r="O551">
        <v>0</v>
      </c>
      <c r="P551">
        <v>0</v>
      </c>
      <c r="Q551">
        <v>0</v>
      </c>
      <c r="R551">
        <v>0</v>
      </c>
      <c r="S551">
        <v>0</v>
      </c>
      <c r="T551">
        <v>0</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v>0</v>
      </c>
      <c r="AW551">
        <v>0</v>
      </c>
      <c r="AX551">
        <v>0</v>
      </c>
      <c r="AY551">
        <v>0</v>
      </c>
      <c r="AZ551">
        <v>0</v>
      </c>
      <c r="BA551">
        <v>0</v>
      </c>
      <c r="BB551">
        <v>0</v>
      </c>
      <c r="BC551">
        <v>0</v>
      </c>
      <c r="BD551">
        <v>0</v>
      </c>
      <c r="BE551">
        <v>0</v>
      </c>
      <c r="BF551">
        <v>0</v>
      </c>
      <c r="BG551">
        <v>0</v>
      </c>
      <c r="BH551">
        <v>0</v>
      </c>
      <c r="BI551">
        <v>0</v>
      </c>
      <c r="BJ551">
        <v>0</v>
      </c>
      <c r="BK551">
        <v>0</v>
      </c>
      <c r="BL551">
        <v>0</v>
      </c>
      <c r="BM551">
        <v>0</v>
      </c>
      <c r="BN551">
        <v>0</v>
      </c>
      <c r="BO551">
        <v>0</v>
      </c>
      <c r="BP551">
        <v>0</v>
      </c>
      <c r="BQ551">
        <v>0</v>
      </c>
      <c r="BR551">
        <v>0</v>
      </c>
      <c r="BS551">
        <v>0</v>
      </c>
      <c r="BT551">
        <v>0</v>
      </c>
      <c r="BU551">
        <v>0</v>
      </c>
      <c r="BV551">
        <v>0</v>
      </c>
      <c r="BW551">
        <v>0</v>
      </c>
      <c r="BX551">
        <v>0</v>
      </c>
      <c r="BY551">
        <v>0</v>
      </c>
      <c r="BZ551">
        <v>0</v>
      </c>
      <c r="CA551">
        <v>0</v>
      </c>
      <c r="CB551">
        <v>0</v>
      </c>
    </row>
    <row r="552" spans="1:80" x14ac:dyDescent="0.2">
      <c r="A552">
        <v>0</v>
      </c>
      <c r="B552">
        <v>0</v>
      </c>
      <c r="C552">
        <v>0</v>
      </c>
      <c r="D552">
        <v>0</v>
      </c>
      <c r="E552">
        <v>0</v>
      </c>
      <c r="F552">
        <v>0</v>
      </c>
      <c r="G552">
        <v>0</v>
      </c>
      <c r="H552">
        <v>0</v>
      </c>
      <c r="I552">
        <v>0</v>
      </c>
      <c r="J552">
        <v>0</v>
      </c>
      <c r="K552">
        <v>0</v>
      </c>
      <c r="L552">
        <v>0</v>
      </c>
      <c r="M552">
        <v>0</v>
      </c>
      <c r="N552">
        <v>0</v>
      </c>
      <c r="O552">
        <v>0</v>
      </c>
      <c r="P552">
        <v>0</v>
      </c>
      <c r="Q552">
        <v>0</v>
      </c>
      <c r="R552">
        <v>0</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c r="BW552">
        <v>0</v>
      </c>
      <c r="BX552">
        <v>0</v>
      </c>
      <c r="BY552">
        <v>0</v>
      </c>
      <c r="BZ552">
        <v>0</v>
      </c>
      <c r="CA552">
        <v>0</v>
      </c>
      <c r="CB552">
        <v>0</v>
      </c>
    </row>
    <row r="553" spans="1:80" x14ac:dyDescent="0.2">
      <c r="A553">
        <v>0</v>
      </c>
      <c r="B553">
        <v>0</v>
      </c>
      <c r="C553">
        <v>0</v>
      </c>
      <c r="D553">
        <v>0</v>
      </c>
      <c r="E553">
        <v>0</v>
      </c>
      <c r="F553">
        <v>0</v>
      </c>
      <c r="G553">
        <v>0</v>
      </c>
      <c r="H553">
        <v>0</v>
      </c>
      <c r="I553">
        <v>0</v>
      </c>
      <c r="J553">
        <v>0</v>
      </c>
      <c r="K553">
        <v>0</v>
      </c>
      <c r="L553">
        <v>0</v>
      </c>
      <c r="M553">
        <v>0</v>
      </c>
      <c r="N553">
        <v>0</v>
      </c>
      <c r="O553">
        <v>0</v>
      </c>
      <c r="P553">
        <v>0</v>
      </c>
      <c r="Q553">
        <v>0</v>
      </c>
      <c r="R553">
        <v>0</v>
      </c>
      <c r="S553">
        <v>0</v>
      </c>
      <c r="T553">
        <v>0</v>
      </c>
      <c r="U553">
        <v>0</v>
      </c>
      <c r="V553">
        <v>0</v>
      </c>
      <c r="W553">
        <v>0</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v>0</v>
      </c>
      <c r="AW553">
        <v>0</v>
      </c>
      <c r="AX553">
        <v>0</v>
      </c>
      <c r="AY553">
        <v>0</v>
      </c>
      <c r="AZ553">
        <v>0</v>
      </c>
      <c r="BA553">
        <v>0</v>
      </c>
      <c r="BB553">
        <v>0</v>
      </c>
      <c r="BC553">
        <v>0</v>
      </c>
      <c r="BD553">
        <v>0</v>
      </c>
      <c r="BE553">
        <v>0</v>
      </c>
      <c r="BF553">
        <v>0</v>
      </c>
      <c r="BG553">
        <v>0</v>
      </c>
      <c r="BH553">
        <v>0</v>
      </c>
      <c r="BI553">
        <v>0</v>
      </c>
      <c r="BJ553">
        <v>0</v>
      </c>
      <c r="BK553">
        <v>0</v>
      </c>
      <c r="BL553">
        <v>0</v>
      </c>
      <c r="BM553">
        <v>0</v>
      </c>
      <c r="BN553">
        <v>0</v>
      </c>
      <c r="BO553">
        <v>0</v>
      </c>
      <c r="BP553">
        <v>0</v>
      </c>
      <c r="BQ553">
        <v>0</v>
      </c>
      <c r="BR553">
        <v>0</v>
      </c>
      <c r="BS553">
        <v>0</v>
      </c>
      <c r="BT553">
        <v>0</v>
      </c>
      <c r="BU553">
        <v>0</v>
      </c>
      <c r="BV553">
        <v>0</v>
      </c>
      <c r="BW553">
        <v>0</v>
      </c>
      <c r="BX553">
        <v>0</v>
      </c>
      <c r="BY553">
        <v>0</v>
      </c>
      <c r="BZ553">
        <v>0</v>
      </c>
      <c r="CA553">
        <v>0</v>
      </c>
      <c r="CB553">
        <v>0</v>
      </c>
    </row>
    <row r="554" spans="1:80" x14ac:dyDescent="0.2">
      <c r="A554">
        <v>0</v>
      </c>
      <c r="B554">
        <v>0</v>
      </c>
      <c r="C554">
        <v>0</v>
      </c>
      <c r="D554">
        <v>0</v>
      </c>
      <c r="E554">
        <v>0</v>
      </c>
      <c r="F554">
        <v>0</v>
      </c>
      <c r="G554">
        <v>0</v>
      </c>
      <c r="H554">
        <v>0</v>
      </c>
      <c r="I554">
        <v>0</v>
      </c>
      <c r="J554">
        <v>0</v>
      </c>
      <c r="K554">
        <v>0</v>
      </c>
      <c r="L554">
        <v>0</v>
      </c>
      <c r="M554">
        <v>0</v>
      </c>
      <c r="N554">
        <v>0</v>
      </c>
      <c r="O554">
        <v>0</v>
      </c>
      <c r="P554">
        <v>0</v>
      </c>
      <c r="Q554">
        <v>0</v>
      </c>
      <c r="R554">
        <v>0</v>
      </c>
      <c r="S554">
        <v>0</v>
      </c>
      <c r="T554">
        <v>0</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0</v>
      </c>
      <c r="BU554">
        <v>0</v>
      </c>
      <c r="BV554">
        <v>0</v>
      </c>
      <c r="BW554">
        <v>0</v>
      </c>
      <c r="BX554">
        <v>0</v>
      </c>
      <c r="BY554">
        <v>0</v>
      </c>
      <c r="BZ554">
        <v>0</v>
      </c>
      <c r="CA554">
        <v>0</v>
      </c>
      <c r="CB554">
        <v>0</v>
      </c>
    </row>
    <row r="555" spans="1:80" x14ac:dyDescent="0.2">
      <c r="A555">
        <v>0</v>
      </c>
      <c r="B555">
        <v>0</v>
      </c>
      <c r="C555">
        <v>0</v>
      </c>
      <c r="D555">
        <v>0</v>
      </c>
      <c r="E555">
        <v>0</v>
      </c>
      <c r="F555">
        <v>0</v>
      </c>
      <c r="G555">
        <v>0</v>
      </c>
      <c r="H555">
        <v>0</v>
      </c>
      <c r="I555">
        <v>0</v>
      </c>
      <c r="J555">
        <v>0</v>
      </c>
      <c r="K555">
        <v>0</v>
      </c>
      <c r="L555">
        <v>0</v>
      </c>
      <c r="M555">
        <v>0</v>
      </c>
      <c r="N555">
        <v>0</v>
      </c>
      <c r="O555">
        <v>0</v>
      </c>
      <c r="P555">
        <v>0</v>
      </c>
      <c r="Q555">
        <v>0</v>
      </c>
      <c r="R555">
        <v>0</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0</v>
      </c>
      <c r="AW555">
        <v>0</v>
      </c>
      <c r="AX555">
        <v>0</v>
      </c>
      <c r="AY555">
        <v>0</v>
      </c>
      <c r="AZ555">
        <v>0</v>
      </c>
      <c r="BA555">
        <v>0</v>
      </c>
      <c r="BB555">
        <v>0</v>
      </c>
      <c r="BC555">
        <v>0</v>
      </c>
      <c r="BD555">
        <v>0</v>
      </c>
      <c r="BE555">
        <v>0</v>
      </c>
      <c r="BF555">
        <v>0</v>
      </c>
      <c r="BG555">
        <v>0</v>
      </c>
      <c r="BH555">
        <v>0</v>
      </c>
      <c r="BI555">
        <v>0</v>
      </c>
      <c r="BJ555">
        <v>0</v>
      </c>
      <c r="BK555">
        <v>0</v>
      </c>
      <c r="BL555">
        <v>0</v>
      </c>
      <c r="BM555">
        <v>0</v>
      </c>
      <c r="BN555">
        <v>0</v>
      </c>
      <c r="BO555">
        <v>0</v>
      </c>
      <c r="BP555">
        <v>0</v>
      </c>
      <c r="BQ555">
        <v>0</v>
      </c>
      <c r="BR555">
        <v>0</v>
      </c>
      <c r="BS555">
        <v>0</v>
      </c>
      <c r="BT555">
        <v>0</v>
      </c>
      <c r="BU555">
        <v>0</v>
      </c>
      <c r="BV555">
        <v>0</v>
      </c>
      <c r="BW555">
        <v>0</v>
      </c>
      <c r="BX555">
        <v>0</v>
      </c>
      <c r="BY555">
        <v>0</v>
      </c>
      <c r="BZ555">
        <v>0</v>
      </c>
      <c r="CA555">
        <v>0</v>
      </c>
      <c r="CB555">
        <v>0</v>
      </c>
    </row>
    <row r="556" spans="1:80" x14ac:dyDescent="0.2">
      <c r="A556">
        <v>0</v>
      </c>
      <c r="B556">
        <v>0</v>
      </c>
      <c r="C556">
        <v>0</v>
      </c>
      <c r="D556">
        <v>0</v>
      </c>
      <c r="E556">
        <v>0</v>
      </c>
      <c r="F556">
        <v>0</v>
      </c>
      <c r="G556">
        <v>0</v>
      </c>
      <c r="H556">
        <v>0</v>
      </c>
      <c r="I556">
        <v>0</v>
      </c>
      <c r="J556">
        <v>0</v>
      </c>
      <c r="K556">
        <v>0</v>
      </c>
      <c r="L556">
        <v>0</v>
      </c>
      <c r="M556">
        <v>0</v>
      </c>
      <c r="N556">
        <v>0</v>
      </c>
      <c r="O556">
        <v>0</v>
      </c>
      <c r="P556">
        <v>0</v>
      </c>
      <c r="Q556">
        <v>0</v>
      </c>
      <c r="R556">
        <v>0</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v>0</v>
      </c>
      <c r="BI556">
        <v>0</v>
      </c>
      <c r="BJ556">
        <v>0</v>
      </c>
      <c r="BK556">
        <v>0</v>
      </c>
      <c r="BL556">
        <v>0</v>
      </c>
      <c r="BM556">
        <v>0</v>
      </c>
      <c r="BN556">
        <v>0</v>
      </c>
      <c r="BO556">
        <v>0</v>
      </c>
      <c r="BP556">
        <v>0</v>
      </c>
      <c r="BQ556">
        <v>0</v>
      </c>
      <c r="BR556">
        <v>0</v>
      </c>
      <c r="BS556">
        <v>0</v>
      </c>
      <c r="BT556">
        <v>0</v>
      </c>
      <c r="BU556">
        <v>0</v>
      </c>
      <c r="BV556">
        <v>0</v>
      </c>
      <c r="BW556">
        <v>0</v>
      </c>
      <c r="BX556">
        <v>0</v>
      </c>
      <c r="BY556">
        <v>0</v>
      </c>
      <c r="BZ556">
        <v>0</v>
      </c>
      <c r="CA556">
        <v>0</v>
      </c>
      <c r="CB556">
        <v>0</v>
      </c>
    </row>
    <row r="557" spans="1:80" x14ac:dyDescent="0.2">
      <c r="A557">
        <v>0</v>
      </c>
      <c r="B557">
        <v>0</v>
      </c>
      <c r="C557">
        <v>0</v>
      </c>
      <c r="D557">
        <v>0</v>
      </c>
      <c r="E557">
        <v>0</v>
      </c>
      <c r="F557">
        <v>0</v>
      </c>
      <c r="G557">
        <v>0</v>
      </c>
      <c r="H557">
        <v>0</v>
      </c>
      <c r="I557">
        <v>0</v>
      </c>
      <c r="J557">
        <v>0</v>
      </c>
      <c r="K557">
        <v>0</v>
      </c>
      <c r="L557">
        <v>0</v>
      </c>
      <c r="M557">
        <v>0</v>
      </c>
      <c r="N557">
        <v>0</v>
      </c>
      <c r="O557">
        <v>0</v>
      </c>
      <c r="P557">
        <v>0</v>
      </c>
      <c r="Q557">
        <v>0</v>
      </c>
      <c r="R557">
        <v>0</v>
      </c>
      <c r="S557">
        <v>0</v>
      </c>
      <c r="T557">
        <v>0</v>
      </c>
      <c r="U557">
        <v>0</v>
      </c>
      <c r="V557">
        <v>0</v>
      </c>
      <c r="W557">
        <v>0</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v>0</v>
      </c>
      <c r="AW557">
        <v>0</v>
      </c>
      <c r="AX557">
        <v>0</v>
      </c>
      <c r="AY557">
        <v>0</v>
      </c>
      <c r="AZ557">
        <v>0</v>
      </c>
      <c r="BA557">
        <v>0</v>
      </c>
      <c r="BB557">
        <v>0</v>
      </c>
      <c r="BC557">
        <v>0</v>
      </c>
      <c r="BD557">
        <v>0</v>
      </c>
      <c r="BE557">
        <v>0</v>
      </c>
      <c r="BF557">
        <v>0</v>
      </c>
      <c r="BG557">
        <v>0</v>
      </c>
      <c r="BH557">
        <v>0</v>
      </c>
      <c r="BI557">
        <v>0</v>
      </c>
      <c r="BJ557">
        <v>0</v>
      </c>
      <c r="BK557">
        <v>0</v>
      </c>
      <c r="BL557">
        <v>0</v>
      </c>
      <c r="BM557">
        <v>0</v>
      </c>
      <c r="BN557">
        <v>0</v>
      </c>
      <c r="BO557">
        <v>0</v>
      </c>
      <c r="BP557">
        <v>0</v>
      </c>
      <c r="BQ557">
        <v>0</v>
      </c>
      <c r="BR557">
        <v>0</v>
      </c>
      <c r="BS557">
        <v>0</v>
      </c>
      <c r="BT557">
        <v>0</v>
      </c>
      <c r="BU557">
        <v>0</v>
      </c>
      <c r="BV557">
        <v>0</v>
      </c>
      <c r="BW557">
        <v>0</v>
      </c>
      <c r="BX557">
        <v>0</v>
      </c>
      <c r="BY557">
        <v>0</v>
      </c>
      <c r="BZ557">
        <v>0</v>
      </c>
      <c r="CA557">
        <v>0</v>
      </c>
      <c r="CB557">
        <v>0</v>
      </c>
    </row>
    <row r="558" spans="1:80" x14ac:dyDescent="0.2">
      <c r="A558">
        <v>0</v>
      </c>
      <c r="B558">
        <v>0</v>
      </c>
      <c r="C558">
        <v>0</v>
      </c>
      <c r="D558">
        <v>0</v>
      </c>
      <c r="E558">
        <v>0</v>
      </c>
      <c r="F558">
        <v>0</v>
      </c>
      <c r="G558">
        <v>0</v>
      </c>
      <c r="H558">
        <v>0</v>
      </c>
      <c r="I558">
        <v>0</v>
      </c>
      <c r="J558">
        <v>0</v>
      </c>
      <c r="K558">
        <v>0</v>
      </c>
      <c r="L558">
        <v>0</v>
      </c>
      <c r="M558">
        <v>0</v>
      </c>
      <c r="N558">
        <v>0</v>
      </c>
      <c r="O558">
        <v>0</v>
      </c>
      <c r="P558">
        <v>0</v>
      </c>
      <c r="Q558">
        <v>0</v>
      </c>
      <c r="R558">
        <v>0</v>
      </c>
      <c r="S558">
        <v>0</v>
      </c>
      <c r="T558">
        <v>0</v>
      </c>
      <c r="U558">
        <v>0</v>
      </c>
      <c r="V558">
        <v>0</v>
      </c>
      <c r="W558">
        <v>0</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v>0</v>
      </c>
      <c r="BI558">
        <v>0</v>
      </c>
      <c r="BJ558">
        <v>0</v>
      </c>
      <c r="BK558">
        <v>0</v>
      </c>
      <c r="BL558">
        <v>0</v>
      </c>
      <c r="BM558">
        <v>0</v>
      </c>
      <c r="BN558">
        <v>0</v>
      </c>
      <c r="BO558">
        <v>0</v>
      </c>
      <c r="BP558">
        <v>0</v>
      </c>
      <c r="BQ558">
        <v>0</v>
      </c>
      <c r="BR558">
        <v>0</v>
      </c>
      <c r="BS558">
        <v>0</v>
      </c>
      <c r="BT558">
        <v>0</v>
      </c>
      <c r="BU558">
        <v>0</v>
      </c>
      <c r="BV558">
        <v>0</v>
      </c>
      <c r="BW558">
        <v>0</v>
      </c>
      <c r="BX558">
        <v>0</v>
      </c>
      <c r="BY558">
        <v>0</v>
      </c>
      <c r="BZ558">
        <v>0</v>
      </c>
      <c r="CA558">
        <v>0</v>
      </c>
      <c r="CB558">
        <v>0</v>
      </c>
    </row>
    <row r="559" spans="1:80" x14ac:dyDescent="0.2">
      <c r="A559">
        <v>0</v>
      </c>
      <c r="B559">
        <v>0</v>
      </c>
      <c r="C559">
        <v>0</v>
      </c>
      <c r="D559">
        <v>0</v>
      </c>
      <c r="E559">
        <v>0</v>
      </c>
      <c r="F559">
        <v>0</v>
      </c>
      <c r="G559">
        <v>0</v>
      </c>
      <c r="H559">
        <v>0</v>
      </c>
      <c r="I559">
        <v>0</v>
      </c>
      <c r="J559">
        <v>0</v>
      </c>
      <c r="K559">
        <v>0</v>
      </c>
      <c r="L559">
        <v>0</v>
      </c>
      <c r="M559">
        <v>0</v>
      </c>
      <c r="N559">
        <v>0</v>
      </c>
      <c r="O559">
        <v>0</v>
      </c>
      <c r="P559">
        <v>0</v>
      </c>
      <c r="Q559">
        <v>0</v>
      </c>
      <c r="R559">
        <v>0</v>
      </c>
      <c r="S559">
        <v>0</v>
      </c>
      <c r="T559">
        <v>0</v>
      </c>
      <c r="U559">
        <v>0</v>
      </c>
      <c r="V559">
        <v>0</v>
      </c>
      <c r="W559">
        <v>0</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v>
      </c>
      <c r="BF559">
        <v>0</v>
      </c>
      <c r="BG559">
        <v>0</v>
      </c>
      <c r="BH559">
        <v>0</v>
      </c>
      <c r="BI559">
        <v>0</v>
      </c>
      <c r="BJ559">
        <v>0</v>
      </c>
      <c r="BK559">
        <v>0</v>
      </c>
      <c r="BL559">
        <v>0</v>
      </c>
      <c r="BM559">
        <v>0</v>
      </c>
      <c r="BN559">
        <v>0</v>
      </c>
      <c r="BO559">
        <v>0</v>
      </c>
      <c r="BP559">
        <v>0</v>
      </c>
      <c r="BQ559">
        <v>0</v>
      </c>
      <c r="BR559">
        <v>0</v>
      </c>
      <c r="BS559">
        <v>0</v>
      </c>
      <c r="BT559">
        <v>0</v>
      </c>
      <c r="BU559">
        <v>0</v>
      </c>
      <c r="BV559">
        <v>0</v>
      </c>
      <c r="BW559">
        <v>0</v>
      </c>
      <c r="BX559">
        <v>0</v>
      </c>
      <c r="BY559">
        <v>0</v>
      </c>
      <c r="BZ559">
        <v>0</v>
      </c>
      <c r="CA559">
        <v>0</v>
      </c>
      <c r="CB559">
        <v>0</v>
      </c>
    </row>
    <row r="560" spans="1:80" x14ac:dyDescent="0.2">
      <c r="A560">
        <v>0</v>
      </c>
      <c r="B560">
        <v>0</v>
      </c>
      <c r="C560">
        <v>0</v>
      </c>
      <c r="D560">
        <v>0</v>
      </c>
      <c r="E560">
        <v>0</v>
      </c>
      <c r="F560">
        <v>0</v>
      </c>
      <c r="G560">
        <v>0</v>
      </c>
      <c r="H560">
        <v>0</v>
      </c>
      <c r="I560">
        <v>0</v>
      </c>
      <c r="J560">
        <v>0</v>
      </c>
      <c r="K560">
        <v>0</v>
      </c>
      <c r="L560">
        <v>0</v>
      </c>
      <c r="M560">
        <v>0</v>
      </c>
      <c r="N560">
        <v>0</v>
      </c>
      <c r="O560">
        <v>0</v>
      </c>
      <c r="P560">
        <v>0</v>
      </c>
      <c r="Q560">
        <v>0</v>
      </c>
      <c r="R560">
        <v>0</v>
      </c>
      <c r="S560">
        <v>0</v>
      </c>
      <c r="T560">
        <v>0</v>
      </c>
      <c r="U560">
        <v>0</v>
      </c>
      <c r="V560">
        <v>0</v>
      </c>
      <c r="W560">
        <v>0</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v>
      </c>
      <c r="AT560">
        <v>0</v>
      </c>
      <c r="AU560">
        <v>0</v>
      </c>
      <c r="AV560">
        <v>0</v>
      </c>
      <c r="AW560">
        <v>0</v>
      </c>
      <c r="AX560">
        <v>0</v>
      </c>
      <c r="AY560">
        <v>0</v>
      </c>
      <c r="AZ560">
        <v>0</v>
      </c>
      <c r="BA560">
        <v>0</v>
      </c>
      <c r="BB560">
        <v>0</v>
      </c>
      <c r="BC560">
        <v>0</v>
      </c>
      <c r="BD560">
        <v>0</v>
      </c>
      <c r="BE560">
        <v>0</v>
      </c>
      <c r="BF560">
        <v>0</v>
      </c>
      <c r="BG560">
        <v>0</v>
      </c>
      <c r="BH560">
        <v>0</v>
      </c>
      <c r="BI560">
        <v>0</v>
      </c>
      <c r="BJ560">
        <v>0</v>
      </c>
      <c r="BK560">
        <v>0</v>
      </c>
      <c r="BL560">
        <v>0</v>
      </c>
      <c r="BM560">
        <v>0</v>
      </c>
      <c r="BN560">
        <v>0</v>
      </c>
      <c r="BO560">
        <v>0</v>
      </c>
      <c r="BP560">
        <v>0</v>
      </c>
      <c r="BQ560">
        <v>0</v>
      </c>
      <c r="BR560">
        <v>0</v>
      </c>
      <c r="BS560">
        <v>0</v>
      </c>
      <c r="BT560">
        <v>0</v>
      </c>
      <c r="BU560">
        <v>0</v>
      </c>
      <c r="BV560">
        <v>0</v>
      </c>
      <c r="BW560">
        <v>0</v>
      </c>
      <c r="BX560">
        <v>0</v>
      </c>
      <c r="BY560">
        <v>0</v>
      </c>
      <c r="BZ560">
        <v>0</v>
      </c>
      <c r="CA560">
        <v>0</v>
      </c>
      <c r="CB560">
        <v>0</v>
      </c>
    </row>
    <row r="561" spans="1:80" x14ac:dyDescent="0.2">
      <c r="A561">
        <v>0</v>
      </c>
      <c r="B561">
        <v>0</v>
      </c>
      <c r="C561">
        <v>0</v>
      </c>
      <c r="D561">
        <v>0</v>
      </c>
      <c r="E561">
        <v>0</v>
      </c>
      <c r="F561">
        <v>0</v>
      </c>
      <c r="G561">
        <v>0</v>
      </c>
      <c r="H561">
        <v>0</v>
      </c>
      <c r="I561">
        <v>0</v>
      </c>
      <c r="J561">
        <v>0</v>
      </c>
      <c r="K561">
        <v>0</v>
      </c>
      <c r="L561">
        <v>0</v>
      </c>
      <c r="M561">
        <v>0</v>
      </c>
      <c r="N561">
        <v>0</v>
      </c>
      <c r="O561">
        <v>0</v>
      </c>
      <c r="P561">
        <v>0</v>
      </c>
      <c r="Q561">
        <v>0</v>
      </c>
      <c r="R561">
        <v>0</v>
      </c>
      <c r="S561">
        <v>0</v>
      </c>
      <c r="T561">
        <v>0</v>
      </c>
      <c r="U561">
        <v>0</v>
      </c>
      <c r="V561">
        <v>0</v>
      </c>
      <c r="W561">
        <v>0</v>
      </c>
      <c r="X561">
        <v>0</v>
      </c>
      <c r="Y561">
        <v>0</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v>0</v>
      </c>
      <c r="AS561">
        <v>0</v>
      </c>
      <c r="AT561">
        <v>0</v>
      </c>
      <c r="AU561">
        <v>0</v>
      </c>
      <c r="AV561">
        <v>0</v>
      </c>
      <c r="AW561">
        <v>0</v>
      </c>
      <c r="AX561">
        <v>0</v>
      </c>
      <c r="AY561">
        <v>0</v>
      </c>
      <c r="AZ561">
        <v>0</v>
      </c>
      <c r="BA561">
        <v>0</v>
      </c>
      <c r="BB561">
        <v>0</v>
      </c>
      <c r="BC561">
        <v>0</v>
      </c>
      <c r="BD561">
        <v>0</v>
      </c>
      <c r="BE561">
        <v>0</v>
      </c>
      <c r="BF561">
        <v>0</v>
      </c>
      <c r="BG561">
        <v>0</v>
      </c>
      <c r="BH561">
        <v>0</v>
      </c>
      <c r="BI561">
        <v>0</v>
      </c>
      <c r="BJ561">
        <v>0</v>
      </c>
      <c r="BK561">
        <v>0</v>
      </c>
      <c r="BL561">
        <v>0</v>
      </c>
      <c r="BM561">
        <v>0</v>
      </c>
      <c r="BN561">
        <v>0</v>
      </c>
      <c r="BO561">
        <v>0</v>
      </c>
      <c r="BP561">
        <v>0</v>
      </c>
      <c r="BQ561">
        <v>0</v>
      </c>
      <c r="BR561">
        <v>0</v>
      </c>
      <c r="BS561">
        <v>0</v>
      </c>
      <c r="BT561">
        <v>0</v>
      </c>
      <c r="BU561">
        <v>0</v>
      </c>
      <c r="BV561">
        <v>0</v>
      </c>
      <c r="BW561">
        <v>0</v>
      </c>
      <c r="BX561">
        <v>0</v>
      </c>
      <c r="BY561">
        <v>0</v>
      </c>
      <c r="BZ561">
        <v>0</v>
      </c>
      <c r="CA561">
        <v>0</v>
      </c>
      <c r="CB561">
        <v>0</v>
      </c>
    </row>
    <row r="562" spans="1:80" x14ac:dyDescent="0.2">
      <c r="A562">
        <v>0</v>
      </c>
      <c r="B562">
        <v>0</v>
      </c>
      <c r="C562">
        <v>0</v>
      </c>
      <c r="D562">
        <v>0</v>
      </c>
      <c r="E562">
        <v>0</v>
      </c>
      <c r="F562">
        <v>0</v>
      </c>
      <c r="G562">
        <v>0</v>
      </c>
      <c r="H562">
        <v>0</v>
      </c>
      <c r="I562">
        <v>0</v>
      </c>
      <c r="J562">
        <v>0</v>
      </c>
      <c r="K562">
        <v>0</v>
      </c>
      <c r="L562">
        <v>0</v>
      </c>
      <c r="M562">
        <v>0</v>
      </c>
      <c r="N562">
        <v>0</v>
      </c>
      <c r="O562">
        <v>0</v>
      </c>
      <c r="P562">
        <v>0</v>
      </c>
      <c r="Q562">
        <v>0</v>
      </c>
      <c r="R562">
        <v>0</v>
      </c>
      <c r="S562">
        <v>0</v>
      </c>
      <c r="T562">
        <v>0</v>
      </c>
      <c r="U562">
        <v>0</v>
      </c>
      <c r="V562">
        <v>0</v>
      </c>
      <c r="W562">
        <v>0</v>
      </c>
      <c r="X562">
        <v>0</v>
      </c>
      <c r="Y562">
        <v>0</v>
      </c>
      <c r="Z562">
        <v>0</v>
      </c>
      <c r="AA562">
        <v>0</v>
      </c>
      <c r="AB562">
        <v>0</v>
      </c>
      <c r="AC562">
        <v>0</v>
      </c>
      <c r="AD562">
        <v>0</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0</v>
      </c>
      <c r="AY562">
        <v>0</v>
      </c>
      <c r="AZ562">
        <v>0</v>
      </c>
      <c r="BA562">
        <v>0</v>
      </c>
      <c r="BB562">
        <v>0</v>
      </c>
      <c r="BC562">
        <v>0</v>
      </c>
      <c r="BD562">
        <v>0</v>
      </c>
      <c r="BE562">
        <v>0</v>
      </c>
      <c r="BF562">
        <v>0</v>
      </c>
      <c r="BG562">
        <v>0</v>
      </c>
      <c r="BH562">
        <v>0</v>
      </c>
      <c r="BI562">
        <v>0</v>
      </c>
      <c r="BJ562">
        <v>0</v>
      </c>
      <c r="BK562">
        <v>0</v>
      </c>
      <c r="BL562">
        <v>0</v>
      </c>
      <c r="BM562">
        <v>0</v>
      </c>
      <c r="BN562">
        <v>0</v>
      </c>
      <c r="BO562">
        <v>0</v>
      </c>
      <c r="BP562">
        <v>0</v>
      </c>
      <c r="BQ562">
        <v>0</v>
      </c>
      <c r="BR562">
        <v>0</v>
      </c>
      <c r="BS562">
        <v>0</v>
      </c>
      <c r="BT562">
        <v>0</v>
      </c>
      <c r="BU562">
        <v>0</v>
      </c>
      <c r="BV562">
        <v>0</v>
      </c>
      <c r="BW562">
        <v>0</v>
      </c>
      <c r="BX562">
        <v>0</v>
      </c>
      <c r="BY562">
        <v>0</v>
      </c>
      <c r="BZ562">
        <v>0</v>
      </c>
      <c r="CA562">
        <v>0</v>
      </c>
      <c r="CB562">
        <v>0</v>
      </c>
    </row>
    <row r="563" spans="1:80" x14ac:dyDescent="0.2">
      <c r="A563">
        <v>0</v>
      </c>
      <c r="B563">
        <v>0</v>
      </c>
      <c r="C563">
        <v>0</v>
      </c>
      <c r="D563">
        <v>0</v>
      </c>
      <c r="E563">
        <v>0</v>
      </c>
      <c r="F563">
        <v>0</v>
      </c>
      <c r="G563">
        <v>0</v>
      </c>
      <c r="H563">
        <v>0</v>
      </c>
      <c r="I563">
        <v>0</v>
      </c>
      <c r="J563">
        <v>0</v>
      </c>
      <c r="K563">
        <v>0</v>
      </c>
      <c r="L563">
        <v>0</v>
      </c>
      <c r="M563">
        <v>0</v>
      </c>
      <c r="N563">
        <v>0</v>
      </c>
      <c r="O563">
        <v>0</v>
      </c>
      <c r="P563">
        <v>0</v>
      </c>
      <c r="Q563">
        <v>0</v>
      </c>
      <c r="R563">
        <v>0</v>
      </c>
      <c r="S563">
        <v>0</v>
      </c>
      <c r="T563">
        <v>0</v>
      </c>
      <c r="U563">
        <v>0</v>
      </c>
      <c r="V563">
        <v>0</v>
      </c>
      <c r="W563">
        <v>0</v>
      </c>
      <c r="X563">
        <v>0</v>
      </c>
      <c r="Y563">
        <v>0</v>
      </c>
      <c r="Z563">
        <v>0</v>
      </c>
      <c r="AA563">
        <v>0</v>
      </c>
      <c r="AB563">
        <v>0</v>
      </c>
      <c r="AC563">
        <v>0</v>
      </c>
      <c r="AD563">
        <v>0</v>
      </c>
      <c r="AE563">
        <v>0</v>
      </c>
      <c r="AF563">
        <v>0</v>
      </c>
      <c r="AG563">
        <v>0</v>
      </c>
      <c r="AH563">
        <v>0</v>
      </c>
      <c r="AI563">
        <v>0</v>
      </c>
      <c r="AJ563">
        <v>0</v>
      </c>
      <c r="AK563">
        <v>0</v>
      </c>
      <c r="AL563">
        <v>0</v>
      </c>
      <c r="AM563">
        <v>0</v>
      </c>
      <c r="AN563">
        <v>0</v>
      </c>
      <c r="AO563">
        <v>0</v>
      </c>
      <c r="AP563">
        <v>0</v>
      </c>
      <c r="AQ563">
        <v>0</v>
      </c>
      <c r="AR563">
        <v>0</v>
      </c>
      <c r="AS563">
        <v>0</v>
      </c>
      <c r="AT563">
        <v>0</v>
      </c>
      <c r="AU563">
        <v>0</v>
      </c>
      <c r="AV563">
        <v>0</v>
      </c>
      <c r="AW563">
        <v>0</v>
      </c>
      <c r="AX563">
        <v>0</v>
      </c>
      <c r="AY563">
        <v>0</v>
      </c>
      <c r="AZ563">
        <v>0</v>
      </c>
      <c r="BA563">
        <v>0</v>
      </c>
      <c r="BB563">
        <v>0</v>
      </c>
      <c r="BC563">
        <v>0</v>
      </c>
      <c r="BD563">
        <v>0</v>
      </c>
      <c r="BE563">
        <v>0</v>
      </c>
      <c r="BF563">
        <v>0</v>
      </c>
      <c r="BG563">
        <v>0</v>
      </c>
      <c r="BH563">
        <v>0</v>
      </c>
      <c r="BI563">
        <v>0</v>
      </c>
      <c r="BJ563">
        <v>0</v>
      </c>
      <c r="BK563">
        <v>0</v>
      </c>
      <c r="BL563">
        <v>0</v>
      </c>
      <c r="BM563">
        <v>0</v>
      </c>
      <c r="BN563">
        <v>0</v>
      </c>
      <c r="BO563">
        <v>0</v>
      </c>
      <c r="BP563">
        <v>0</v>
      </c>
      <c r="BQ563">
        <v>0</v>
      </c>
      <c r="BR563">
        <v>0</v>
      </c>
      <c r="BS563">
        <v>0</v>
      </c>
      <c r="BT563">
        <v>0</v>
      </c>
      <c r="BU563">
        <v>0</v>
      </c>
      <c r="BV563">
        <v>0</v>
      </c>
      <c r="BW563">
        <v>0</v>
      </c>
      <c r="BX563">
        <v>0</v>
      </c>
      <c r="BY563">
        <v>0</v>
      </c>
      <c r="BZ563">
        <v>0</v>
      </c>
      <c r="CA563">
        <v>0</v>
      </c>
      <c r="CB563">
        <v>0</v>
      </c>
    </row>
    <row r="564" spans="1:80" x14ac:dyDescent="0.2">
      <c r="A564">
        <v>0</v>
      </c>
      <c r="B564">
        <v>0</v>
      </c>
      <c r="C564">
        <v>0</v>
      </c>
      <c r="D564">
        <v>0</v>
      </c>
      <c r="E564">
        <v>0</v>
      </c>
      <c r="F564">
        <v>0</v>
      </c>
      <c r="G564">
        <v>0</v>
      </c>
      <c r="H564">
        <v>0</v>
      </c>
      <c r="I564">
        <v>0</v>
      </c>
      <c r="J564">
        <v>0</v>
      </c>
      <c r="K564">
        <v>0</v>
      </c>
      <c r="L564">
        <v>0</v>
      </c>
      <c r="M564">
        <v>0</v>
      </c>
      <c r="N564">
        <v>0</v>
      </c>
      <c r="O564">
        <v>0</v>
      </c>
      <c r="P564">
        <v>0</v>
      </c>
      <c r="Q564">
        <v>0</v>
      </c>
      <c r="R564">
        <v>0</v>
      </c>
      <c r="S564">
        <v>0</v>
      </c>
      <c r="T564">
        <v>0</v>
      </c>
      <c r="U564">
        <v>0</v>
      </c>
      <c r="V564">
        <v>0</v>
      </c>
      <c r="W564">
        <v>0</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v>0</v>
      </c>
      <c r="AT564">
        <v>0</v>
      </c>
      <c r="AU564">
        <v>0</v>
      </c>
      <c r="AV564">
        <v>0</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0</v>
      </c>
      <c r="BW564">
        <v>0</v>
      </c>
      <c r="BX564">
        <v>0</v>
      </c>
      <c r="BY564">
        <v>0</v>
      </c>
      <c r="BZ564">
        <v>0</v>
      </c>
      <c r="CA564">
        <v>0</v>
      </c>
      <c r="CB564">
        <v>0</v>
      </c>
    </row>
    <row r="565" spans="1:80" x14ac:dyDescent="0.2">
      <c r="A565">
        <v>0</v>
      </c>
      <c r="B565">
        <v>0</v>
      </c>
      <c r="C565">
        <v>0</v>
      </c>
      <c r="D565">
        <v>0</v>
      </c>
      <c r="E565">
        <v>0</v>
      </c>
      <c r="F565">
        <v>0</v>
      </c>
      <c r="G565">
        <v>0</v>
      </c>
      <c r="H565">
        <v>0</v>
      </c>
      <c r="I565">
        <v>0</v>
      </c>
      <c r="J565">
        <v>0</v>
      </c>
      <c r="K565">
        <v>0</v>
      </c>
      <c r="L565">
        <v>0</v>
      </c>
      <c r="M565">
        <v>0</v>
      </c>
      <c r="N565">
        <v>0</v>
      </c>
      <c r="O565">
        <v>0</v>
      </c>
      <c r="P565">
        <v>0</v>
      </c>
      <c r="Q565">
        <v>0</v>
      </c>
      <c r="R565">
        <v>0</v>
      </c>
      <c r="S565">
        <v>0</v>
      </c>
      <c r="T565">
        <v>0</v>
      </c>
      <c r="U565">
        <v>0</v>
      </c>
      <c r="V565">
        <v>0</v>
      </c>
      <c r="W565">
        <v>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0</v>
      </c>
      <c r="BC565">
        <v>0</v>
      </c>
      <c r="BD565">
        <v>0</v>
      </c>
      <c r="BE565">
        <v>0</v>
      </c>
      <c r="BF565">
        <v>0</v>
      </c>
      <c r="BG565">
        <v>0</v>
      </c>
      <c r="BH565">
        <v>0</v>
      </c>
      <c r="BI565">
        <v>0</v>
      </c>
      <c r="BJ565">
        <v>0</v>
      </c>
      <c r="BK565">
        <v>0</v>
      </c>
      <c r="BL565">
        <v>0</v>
      </c>
      <c r="BM565">
        <v>0</v>
      </c>
      <c r="BN565">
        <v>0</v>
      </c>
      <c r="BO565">
        <v>0</v>
      </c>
      <c r="BP565">
        <v>0</v>
      </c>
      <c r="BQ565">
        <v>0</v>
      </c>
      <c r="BR565">
        <v>0</v>
      </c>
      <c r="BS565">
        <v>0</v>
      </c>
      <c r="BT565">
        <v>0</v>
      </c>
      <c r="BU565">
        <v>0</v>
      </c>
      <c r="BV565">
        <v>0</v>
      </c>
      <c r="BW565">
        <v>0</v>
      </c>
      <c r="BX565">
        <v>0</v>
      </c>
      <c r="BY565">
        <v>0</v>
      </c>
      <c r="BZ565">
        <v>0</v>
      </c>
      <c r="CA565">
        <v>0</v>
      </c>
      <c r="CB565">
        <v>0</v>
      </c>
    </row>
    <row r="566" spans="1:80" x14ac:dyDescent="0.2">
      <c r="A566">
        <v>0</v>
      </c>
      <c r="B566">
        <v>0</v>
      </c>
      <c r="C566">
        <v>0</v>
      </c>
      <c r="D566">
        <v>0</v>
      </c>
      <c r="E566">
        <v>0</v>
      </c>
      <c r="F566">
        <v>0</v>
      </c>
      <c r="G566">
        <v>0</v>
      </c>
      <c r="H566">
        <v>0</v>
      </c>
      <c r="I566">
        <v>0</v>
      </c>
      <c r="J566">
        <v>0</v>
      </c>
      <c r="K566">
        <v>0</v>
      </c>
      <c r="L566">
        <v>0</v>
      </c>
      <c r="M566">
        <v>0</v>
      </c>
      <c r="N566">
        <v>0</v>
      </c>
      <c r="O566">
        <v>0</v>
      </c>
      <c r="P566">
        <v>0</v>
      </c>
      <c r="Q566">
        <v>0</v>
      </c>
      <c r="R566">
        <v>0</v>
      </c>
      <c r="S566">
        <v>0</v>
      </c>
      <c r="T566">
        <v>0</v>
      </c>
      <c r="U566">
        <v>0</v>
      </c>
      <c r="V566">
        <v>0</v>
      </c>
      <c r="W566">
        <v>0</v>
      </c>
      <c r="X566">
        <v>0</v>
      </c>
      <c r="Y566">
        <v>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v>0</v>
      </c>
      <c r="AS566">
        <v>0</v>
      </c>
      <c r="AT566">
        <v>0</v>
      </c>
      <c r="AU566">
        <v>0</v>
      </c>
      <c r="AV566">
        <v>0</v>
      </c>
      <c r="AW566">
        <v>0</v>
      </c>
      <c r="AX566">
        <v>0</v>
      </c>
      <c r="AY566">
        <v>0</v>
      </c>
      <c r="AZ566">
        <v>0</v>
      </c>
      <c r="BA566">
        <v>0</v>
      </c>
      <c r="BB566">
        <v>0</v>
      </c>
      <c r="BC566">
        <v>0</v>
      </c>
      <c r="BD566">
        <v>0</v>
      </c>
      <c r="BE566">
        <v>0</v>
      </c>
      <c r="BF566">
        <v>0</v>
      </c>
      <c r="BG566">
        <v>0</v>
      </c>
      <c r="BH566">
        <v>0</v>
      </c>
      <c r="BI566">
        <v>0</v>
      </c>
      <c r="BJ566">
        <v>0</v>
      </c>
      <c r="BK566">
        <v>0</v>
      </c>
      <c r="BL566">
        <v>0</v>
      </c>
      <c r="BM566">
        <v>0</v>
      </c>
      <c r="BN566">
        <v>0</v>
      </c>
      <c r="BO566">
        <v>0</v>
      </c>
      <c r="BP566">
        <v>0</v>
      </c>
      <c r="BQ566">
        <v>0</v>
      </c>
      <c r="BR566">
        <v>0</v>
      </c>
      <c r="BS566">
        <v>0</v>
      </c>
      <c r="BT566">
        <v>0</v>
      </c>
      <c r="BU566">
        <v>0</v>
      </c>
      <c r="BV566">
        <v>0</v>
      </c>
      <c r="BW566">
        <v>0</v>
      </c>
      <c r="BX566">
        <v>0</v>
      </c>
      <c r="BY566">
        <v>0</v>
      </c>
      <c r="BZ566">
        <v>0</v>
      </c>
      <c r="CA566">
        <v>0</v>
      </c>
      <c r="CB566">
        <v>0</v>
      </c>
    </row>
    <row r="567" spans="1:80" x14ac:dyDescent="0.2">
      <c r="A567">
        <v>0</v>
      </c>
      <c r="B567">
        <v>0</v>
      </c>
      <c r="C567">
        <v>0</v>
      </c>
      <c r="D567">
        <v>0</v>
      </c>
      <c r="E567">
        <v>0</v>
      </c>
      <c r="F567">
        <v>0</v>
      </c>
      <c r="G567">
        <v>0</v>
      </c>
      <c r="H567">
        <v>0</v>
      </c>
      <c r="I567">
        <v>0</v>
      </c>
      <c r="J567">
        <v>0</v>
      </c>
      <c r="K567">
        <v>0</v>
      </c>
      <c r="L567">
        <v>0</v>
      </c>
      <c r="M567">
        <v>0</v>
      </c>
      <c r="N567">
        <v>0</v>
      </c>
      <c r="O567">
        <v>0</v>
      </c>
      <c r="P567">
        <v>0</v>
      </c>
      <c r="Q567">
        <v>0</v>
      </c>
      <c r="R567">
        <v>0</v>
      </c>
      <c r="S567">
        <v>0</v>
      </c>
      <c r="T567">
        <v>0</v>
      </c>
      <c r="U567">
        <v>0</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v>0</v>
      </c>
      <c r="AW567">
        <v>0</v>
      </c>
      <c r="AX567">
        <v>0</v>
      </c>
      <c r="AY567">
        <v>0</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0</v>
      </c>
      <c r="BU567">
        <v>0</v>
      </c>
      <c r="BV567">
        <v>0</v>
      </c>
      <c r="BW567">
        <v>0</v>
      </c>
      <c r="BX567">
        <v>0</v>
      </c>
      <c r="BY567">
        <v>0</v>
      </c>
      <c r="BZ567">
        <v>0</v>
      </c>
      <c r="CA567">
        <v>0</v>
      </c>
      <c r="CB567">
        <v>0</v>
      </c>
    </row>
    <row r="568" spans="1:80" x14ac:dyDescent="0.2">
      <c r="A568">
        <v>0</v>
      </c>
      <c r="B568">
        <v>0</v>
      </c>
      <c r="C568">
        <v>0</v>
      </c>
      <c r="D568">
        <v>0</v>
      </c>
      <c r="E568">
        <v>0</v>
      </c>
      <c r="F568">
        <v>0</v>
      </c>
      <c r="G568">
        <v>0</v>
      </c>
      <c r="H568">
        <v>0</v>
      </c>
      <c r="I568">
        <v>0</v>
      </c>
      <c r="J568">
        <v>0</v>
      </c>
      <c r="K568">
        <v>0</v>
      </c>
      <c r="L568">
        <v>0</v>
      </c>
      <c r="M568">
        <v>0</v>
      </c>
      <c r="N568">
        <v>0</v>
      </c>
      <c r="O568">
        <v>0</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0</v>
      </c>
      <c r="BJ568">
        <v>0</v>
      </c>
      <c r="BK568">
        <v>0</v>
      </c>
      <c r="BL568">
        <v>0</v>
      </c>
      <c r="BM568">
        <v>0</v>
      </c>
      <c r="BN568">
        <v>0</v>
      </c>
      <c r="BO568">
        <v>0</v>
      </c>
      <c r="BP568">
        <v>0</v>
      </c>
      <c r="BQ568">
        <v>0</v>
      </c>
      <c r="BR568">
        <v>0</v>
      </c>
      <c r="BS568">
        <v>0</v>
      </c>
      <c r="BT568">
        <v>0</v>
      </c>
      <c r="BU568">
        <v>0</v>
      </c>
      <c r="BV568">
        <v>0</v>
      </c>
      <c r="BW568">
        <v>0</v>
      </c>
      <c r="BX568">
        <v>0</v>
      </c>
      <c r="BY568">
        <v>0</v>
      </c>
      <c r="BZ568">
        <v>0</v>
      </c>
      <c r="CA568">
        <v>0</v>
      </c>
      <c r="CB568">
        <v>0</v>
      </c>
    </row>
    <row r="569" spans="1:80" x14ac:dyDescent="0.2">
      <c r="A569">
        <v>0</v>
      </c>
      <c r="B569">
        <v>0</v>
      </c>
      <c r="C569">
        <v>0</v>
      </c>
      <c r="D569">
        <v>0</v>
      </c>
      <c r="E569">
        <v>0</v>
      </c>
      <c r="F569">
        <v>0</v>
      </c>
      <c r="G569">
        <v>0</v>
      </c>
      <c r="H569">
        <v>0</v>
      </c>
      <c r="I569">
        <v>0</v>
      </c>
      <c r="J569">
        <v>0</v>
      </c>
      <c r="K569">
        <v>0</v>
      </c>
      <c r="L569">
        <v>0</v>
      </c>
      <c r="M569">
        <v>0</v>
      </c>
      <c r="N569">
        <v>0</v>
      </c>
      <c r="O569">
        <v>0</v>
      </c>
      <c r="P569">
        <v>0</v>
      </c>
      <c r="Q569">
        <v>0</v>
      </c>
      <c r="R569">
        <v>0</v>
      </c>
      <c r="S569">
        <v>0</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v>
      </c>
      <c r="BM569">
        <v>0</v>
      </c>
      <c r="BN569">
        <v>0</v>
      </c>
      <c r="BO569">
        <v>0</v>
      </c>
      <c r="BP569">
        <v>0</v>
      </c>
      <c r="BQ569">
        <v>0</v>
      </c>
      <c r="BR569">
        <v>0</v>
      </c>
      <c r="BS569">
        <v>0</v>
      </c>
      <c r="BT569">
        <v>0</v>
      </c>
      <c r="BU569">
        <v>0</v>
      </c>
      <c r="BV569">
        <v>0</v>
      </c>
      <c r="BW569">
        <v>0</v>
      </c>
      <c r="BX569">
        <v>0</v>
      </c>
      <c r="BY569">
        <v>0</v>
      </c>
      <c r="BZ569">
        <v>0</v>
      </c>
      <c r="CA569">
        <v>0</v>
      </c>
      <c r="CB569">
        <v>0</v>
      </c>
    </row>
    <row r="570" spans="1:80" x14ac:dyDescent="0.2">
      <c r="A570">
        <v>0</v>
      </c>
      <c r="B570">
        <v>0</v>
      </c>
      <c r="C570">
        <v>0</v>
      </c>
      <c r="D570">
        <v>0</v>
      </c>
      <c r="E570">
        <v>0</v>
      </c>
      <c r="F570">
        <v>0</v>
      </c>
      <c r="G570">
        <v>0</v>
      </c>
      <c r="H570">
        <v>0</v>
      </c>
      <c r="I570">
        <v>0</v>
      </c>
      <c r="J570">
        <v>0</v>
      </c>
      <c r="K570">
        <v>0</v>
      </c>
      <c r="L570">
        <v>0</v>
      </c>
      <c r="M570">
        <v>0</v>
      </c>
      <c r="N570">
        <v>0</v>
      </c>
      <c r="O570">
        <v>0</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v>0</v>
      </c>
      <c r="BI570">
        <v>0</v>
      </c>
      <c r="BJ570">
        <v>0</v>
      </c>
      <c r="BK570">
        <v>0</v>
      </c>
      <c r="BL570">
        <v>0</v>
      </c>
      <c r="BM570">
        <v>0</v>
      </c>
      <c r="BN570">
        <v>0</v>
      </c>
      <c r="BO570">
        <v>0</v>
      </c>
      <c r="BP570">
        <v>0</v>
      </c>
      <c r="BQ570">
        <v>0</v>
      </c>
      <c r="BR570">
        <v>0</v>
      </c>
      <c r="BS570">
        <v>0</v>
      </c>
      <c r="BT570">
        <v>0</v>
      </c>
      <c r="BU570">
        <v>0</v>
      </c>
      <c r="BV570">
        <v>0</v>
      </c>
      <c r="BW570">
        <v>0</v>
      </c>
      <c r="BX570">
        <v>0</v>
      </c>
      <c r="BY570">
        <v>0</v>
      </c>
      <c r="BZ570">
        <v>0</v>
      </c>
      <c r="CA570">
        <v>0</v>
      </c>
      <c r="CB570">
        <v>0</v>
      </c>
    </row>
    <row r="571" spans="1:80" x14ac:dyDescent="0.2">
      <c r="A571">
        <v>0</v>
      </c>
      <c r="B571">
        <v>0</v>
      </c>
      <c r="C571">
        <v>0</v>
      </c>
      <c r="D571">
        <v>0</v>
      </c>
      <c r="E571">
        <v>0</v>
      </c>
      <c r="F571">
        <v>0</v>
      </c>
      <c r="G571">
        <v>0</v>
      </c>
      <c r="H571">
        <v>0</v>
      </c>
      <c r="I571">
        <v>0</v>
      </c>
      <c r="J571">
        <v>0</v>
      </c>
      <c r="K571">
        <v>0</v>
      </c>
      <c r="L571">
        <v>0</v>
      </c>
      <c r="M571">
        <v>0</v>
      </c>
      <c r="N571">
        <v>0</v>
      </c>
      <c r="O571">
        <v>0</v>
      </c>
      <c r="P571">
        <v>0</v>
      </c>
      <c r="Q571">
        <v>0</v>
      </c>
      <c r="R571">
        <v>0</v>
      </c>
      <c r="S571">
        <v>0</v>
      </c>
      <c r="T571">
        <v>0</v>
      </c>
      <c r="U571">
        <v>0</v>
      </c>
      <c r="V571">
        <v>0</v>
      </c>
      <c r="W571">
        <v>0</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0</v>
      </c>
      <c r="AU571">
        <v>0</v>
      </c>
      <c r="AV571">
        <v>0</v>
      </c>
      <c r="AW571">
        <v>0</v>
      </c>
      <c r="AX571">
        <v>0</v>
      </c>
      <c r="AY571">
        <v>0</v>
      </c>
      <c r="AZ571">
        <v>0</v>
      </c>
      <c r="BA571">
        <v>0</v>
      </c>
      <c r="BB571">
        <v>0</v>
      </c>
      <c r="BC571">
        <v>0</v>
      </c>
      <c r="BD571">
        <v>0</v>
      </c>
      <c r="BE571">
        <v>0</v>
      </c>
      <c r="BF571">
        <v>0</v>
      </c>
      <c r="BG571">
        <v>0</v>
      </c>
      <c r="BH571">
        <v>0</v>
      </c>
      <c r="BI571">
        <v>0</v>
      </c>
      <c r="BJ571">
        <v>0</v>
      </c>
      <c r="BK571">
        <v>0</v>
      </c>
      <c r="BL571">
        <v>0</v>
      </c>
      <c r="BM571">
        <v>0</v>
      </c>
      <c r="BN571">
        <v>0</v>
      </c>
      <c r="BO571">
        <v>0</v>
      </c>
      <c r="BP571">
        <v>0</v>
      </c>
      <c r="BQ571">
        <v>0</v>
      </c>
      <c r="BR571">
        <v>0</v>
      </c>
      <c r="BS571">
        <v>0</v>
      </c>
      <c r="BT571">
        <v>0</v>
      </c>
      <c r="BU571">
        <v>0</v>
      </c>
      <c r="BV571">
        <v>0</v>
      </c>
      <c r="BW571">
        <v>0</v>
      </c>
      <c r="BX571">
        <v>0</v>
      </c>
      <c r="BY571">
        <v>0</v>
      </c>
      <c r="BZ571">
        <v>0</v>
      </c>
      <c r="CA571">
        <v>0</v>
      </c>
      <c r="CB571">
        <v>0</v>
      </c>
    </row>
    <row r="572" spans="1:80" x14ac:dyDescent="0.2">
      <c r="A572">
        <v>0</v>
      </c>
      <c r="B572">
        <v>0</v>
      </c>
      <c r="C572">
        <v>0</v>
      </c>
      <c r="D572">
        <v>0</v>
      </c>
      <c r="E572">
        <v>0</v>
      </c>
      <c r="F572">
        <v>0</v>
      </c>
      <c r="G572">
        <v>0</v>
      </c>
      <c r="H572">
        <v>0</v>
      </c>
      <c r="I572">
        <v>0</v>
      </c>
      <c r="J572">
        <v>0</v>
      </c>
      <c r="K572">
        <v>0</v>
      </c>
      <c r="L572">
        <v>0</v>
      </c>
      <c r="M572">
        <v>0</v>
      </c>
      <c r="N572">
        <v>0</v>
      </c>
      <c r="O572">
        <v>0</v>
      </c>
      <c r="P572">
        <v>0</v>
      </c>
      <c r="Q572">
        <v>0</v>
      </c>
      <c r="R572">
        <v>0</v>
      </c>
      <c r="S572">
        <v>0</v>
      </c>
      <c r="T572">
        <v>0</v>
      </c>
      <c r="U572">
        <v>0</v>
      </c>
      <c r="V572">
        <v>0</v>
      </c>
      <c r="W572">
        <v>0</v>
      </c>
      <c r="X572">
        <v>0</v>
      </c>
      <c r="Y572">
        <v>0</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v>0</v>
      </c>
      <c r="AS572">
        <v>0</v>
      </c>
      <c r="AT572">
        <v>0</v>
      </c>
      <c r="AU572">
        <v>0</v>
      </c>
      <c r="AV572">
        <v>0</v>
      </c>
      <c r="AW572">
        <v>0</v>
      </c>
      <c r="AX572">
        <v>0</v>
      </c>
      <c r="AY572">
        <v>0</v>
      </c>
      <c r="AZ572">
        <v>0</v>
      </c>
      <c r="BA572">
        <v>0</v>
      </c>
      <c r="BB572">
        <v>0</v>
      </c>
      <c r="BC572">
        <v>0</v>
      </c>
      <c r="BD572">
        <v>0</v>
      </c>
      <c r="BE572">
        <v>0</v>
      </c>
      <c r="BF572">
        <v>0</v>
      </c>
      <c r="BG572">
        <v>0</v>
      </c>
      <c r="BH572">
        <v>0</v>
      </c>
      <c r="BI572">
        <v>0</v>
      </c>
      <c r="BJ572">
        <v>0</v>
      </c>
      <c r="BK572">
        <v>0</v>
      </c>
      <c r="BL572">
        <v>0</v>
      </c>
      <c r="BM572">
        <v>0</v>
      </c>
      <c r="BN572">
        <v>0</v>
      </c>
      <c r="BO572">
        <v>0</v>
      </c>
      <c r="BP572">
        <v>0</v>
      </c>
      <c r="BQ572">
        <v>0</v>
      </c>
      <c r="BR572">
        <v>0</v>
      </c>
      <c r="BS572">
        <v>0</v>
      </c>
      <c r="BT572">
        <v>0</v>
      </c>
      <c r="BU572">
        <v>0</v>
      </c>
      <c r="BV572">
        <v>0</v>
      </c>
      <c r="BW572">
        <v>0</v>
      </c>
      <c r="BX572">
        <v>0</v>
      </c>
      <c r="BY572">
        <v>0</v>
      </c>
      <c r="BZ572">
        <v>0</v>
      </c>
      <c r="CA572">
        <v>0</v>
      </c>
      <c r="CB572">
        <v>0</v>
      </c>
    </row>
    <row r="573" spans="1:80" x14ac:dyDescent="0.2">
      <c r="A573">
        <v>0</v>
      </c>
      <c r="B573">
        <v>0</v>
      </c>
      <c r="C573">
        <v>0</v>
      </c>
      <c r="D573">
        <v>0</v>
      </c>
      <c r="E573">
        <v>0</v>
      </c>
      <c r="F573">
        <v>0</v>
      </c>
      <c r="G573">
        <v>0</v>
      </c>
      <c r="H573">
        <v>0</v>
      </c>
      <c r="I573">
        <v>0</v>
      </c>
      <c r="J573">
        <v>0</v>
      </c>
      <c r="K573">
        <v>0</v>
      </c>
      <c r="L573">
        <v>0</v>
      </c>
      <c r="M573">
        <v>0</v>
      </c>
      <c r="N573">
        <v>0</v>
      </c>
      <c r="O573">
        <v>0</v>
      </c>
      <c r="P573">
        <v>0</v>
      </c>
      <c r="Q573">
        <v>0</v>
      </c>
      <c r="R573">
        <v>0</v>
      </c>
      <c r="S573">
        <v>0</v>
      </c>
      <c r="T573">
        <v>0</v>
      </c>
      <c r="U573">
        <v>0</v>
      </c>
      <c r="V573">
        <v>0</v>
      </c>
      <c r="W573">
        <v>0</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v>
      </c>
      <c r="AT573">
        <v>0</v>
      </c>
      <c r="AU573">
        <v>0</v>
      </c>
      <c r="AV573">
        <v>0</v>
      </c>
      <c r="AW573">
        <v>0</v>
      </c>
      <c r="AX573">
        <v>0</v>
      </c>
      <c r="AY573">
        <v>0</v>
      </c>
      <c r="AZ573">
        <v>0</v>
      </c>
      <c r="BA573">
        <v>0</v>
      </c>
      <c r="BB573">
        <v>0</v>
      </c>
      <c r="BC573">
        <v>0</v>
      </c>
      <c r="BD573">
        <v>0</v>
      </c>
      <c r="BE573">
        <v>0</v>
      </c>
      <c r="BF573">
        <v>0</v>
      </c>
      <c r="BG573">
        <v>0</v>
      </c>
      <c r="BH573">
        <v>0</v>
      </c>
      <c r="BI573">
        <v>0</v>
      </c>
      <c r="BJ573">
        <v>0</v>
      </c>
      <c r="BK573">
        <v>0</v>
      </c>
      <c r="BL573">
        <v>0</v>
      </c>
      <c r="BM573">
        <v>0</v>
      </c>
      <c r="BN573">
        <v>0</v>
      </c>
      <c r="BO573">
        <v>0</v>
      </c>
      <c r="BP573">
        <v>0</v>
      </c>
      <c r="BQ573">
        <v>0</v>
      </c>
      <c r="BR573">
        <v>0</v>
      </c>
      <c r="BS573">
        <v>0</v>
      </c>
      <c r="BT573">
        <v>0</v>
      </c>
      <c r="BU573">
        <v>0</v>
      </c>
      <c r="BV573">
        <v>0</v>
      </c>
      <c r="BW573">
        <v>0</v>
      </c>
      <c r="BX573">
        <v>0</v>
      </c>
      <c r="BY573">
        <v>0</v>
      </c>
      <c r="BZ573">
        <v>0</v>
      </c>
      <c r="CA573">
        <v>0</v>
      </c>
      <c r="CB573">
        <v>0</v>
      </c>
    </row>
    <row r="574" spans="1:80" x14ac:dyDescent="0.2">
      <c r="A574">
        <v>0</v>
      </c>
      <c r="B574">
        <v>0</v>
      </c>
      <c r="C574">
        <v>0</v>
      </c>
      <c r="D574">
        <v>0</v>
      </c>
      <c r="E574">
        <v>0</v>
      </c>
      <c r="F574">
        <v>0</v>
      </c>
      <c r="G574">
        <v>0</v>
      </c>
      <c r="H574">
        <v>0</v>
      </c>
      <c r="I574">
        <v>0</v>
      </c>
      <c r="J574">
        <v>0</v>
      </c>
      <c r="K574">
        <v>0</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v>0</v>
      </c>
      <c r="BI574">
        <v>0</v>
      </c>
      <c r="BJ574">
        <v>0</v>
      </c>
      <c r="BK574">
        <v>0</v>
      </c>
      <c r="BL574">
        <v>0</v>
      </c>
      <c r="BM574">
        <v>0</v>
      </c>
      <c r="BN574">
        <v>0</v>
      </c>
      <c r="BO574">
        <v>0</v>
      </c>
      <c r="BP574">
        <v>0</v>
      </c>
      <c r="BQ574">
        <v>0</v>
      </c>
      <c r="BR574">
        <v>0</v>
      </c>
      <c r="BS574">
        <v>0</v>
      </c>
      <c r="BT574">
        <v>0</v>
      </c>
      <c r="BU574">
        <v>0</v>
      </c>
      <c r="BV574">
        <v>0</v>
      </c>
      <c r="BW574">
        <v>0</v>
      </c>
      <c r="BX574">
        <v>0</v>
      </c>
      <c r="BY574">
        <v>0</v>
      </c>
      <c r="BZ574">
        <v>0</v>
      </c>
      <c r="CA574">
        <v>0</v>
      </c>
      <c r="CB574">
        <v>0</v>
      </c>
    </row>
    <row r="575" spans="1:80" x14ac:dyDescent="0.2">
      <c r="A575">
        <v>0</v>
      </c>
      <c r="B575">
        <v>0</v>
      </c>
      <c r="C575">
        <v>0</v>
      </c>
      <c r="D575">
        <v>0</v>
      </c>
      <c r="E575">
        <v>0</v>
      </c>
      <c r="F575">
        <v>0</v>
      </c>
      <c r="G575">
        <v>0</v>
      </c>
      <c r="H575">
        <v>0</v>
      </c>
      <c r="I575">
        <v>0</v>
      </c>
      <c r="J575">
        <v>0</v>
      </c>
      <c r="K575">
        <v>0</v>
      </c>
      <c r="L575">
        <v>0</v>
      </c>
      <c r="M575">
        <v>0</v>
      </c>
      <c r="N575">
        <v>0</v>
      </c>
      <c r="O575">
        <v>0</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0</v>
      </c>
      <c r="BU575">
        <v>0</v>
      </c>
      <c r="BV575">
        <v>0</v>
      </c>
      <c r="BW575">
        <v>0</v>
      </c>
      <c r="BX575">
        <v>0</v>
      </c>
      <c r="BY575">
        <v>0</v>
      </c>
      <c r="BZ575">
        <v>0</v>
      </c>
      <c r="CA575">
        <v>0</v>
      </c>
      <c r="CB575">
        <v>0</v>
      </c>
    </row>
    <row r="576" spans="1:80" x14ac:dyDescent="0.2">
      <c r="A576">
        <v>0</v>
      </c>
      <c r="B576">
        <v>0</v>
      </c>
      <c r="C576">
        <v>0</v>
      </c>
      <c r="D576">
        <v>0</v>
      </c>
      <c r="E576">
        <v>0</v>
      </c>
      <c r="F576">
        <v>0</v>
      </c>
      <c r="G576">
        <v>0</v>
      </c>
      <c r="H576">
        <v>0</v>
      </c>
      <c r="I576">
        <v>0</v>
      </c>
      <c r="J576">
        <v>0</v>
      </c>
      <c r="K576">
        <v>0</v>
      </c>
      <c r="L576">
        <v>0</v>
      </c>
      <c r="M576">
        <v>0</v>
      </c>
      <c r="N576">
        <v>0</v>
      </c>
      <c r="O576">
        <v>0</v>
      </c>
      <c r="P576">
        <v>0</v>
      </c>
      <c r="Q576">
        <v>0</v>
      </c>
      <c r="R576">
        <v>0</v>
      </c>
      <c r="S576">
        <v>0</v>
      </c>
      <c r="T576">
        <v>0</v>
      </c>
      <c r="U576">
        <v>0</v>
      </c>
      <c r="V576">
        <v>0</v>
      </c>
      <c r="W576">
        <v>0</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0</v>
      </c>
      <c r="AU576">
        <v>0</v>
      </c>
      <c r="AV576">
        <v>0</v>
      </c>
      <c r="AW576">
        <v>0</v>
      </c>
      <c r="AX576">
        <v>0</v>
      </c>
      <c r="AY576">
        <v>0</v>
      </c>
      <c r="AZ576">
        <v>0</v>
      </c>
      <c r="BA576">
        <v>0</v>
      </c>
      <c r="BB576">
        <v>0</v>
      </c>
      <c r="BC576">
        <v>0</v>
      </c>
      <c r="BD576">
        <v>0</v>
      </c>
      <c r="BE576">
        <v>0</v>
      </c>
      <c r="BF576">
        <v>0</v>
      </c>
      <c r="BG576">
        <v>0</v>
      </c>
      <c r="BH576">
        <v>0</v>
      </c>
      <c r="BI576">
        <v>0</v>
      </c>
      <c r="BJ576">
        <v>0</v>
      </c>
      <c r="BK576">
        <v>0</v>
      </c>
      <c r="BL576">
        <v>0</v>
      </c>
      <c r="BM576">
        <v>0</v>
      </c>
      <c r="BN576">
        <v>0</v>
      </c>
      <c r="BO576">
        <v>0</v>
      </c>
      <c r="BP576">
        <v>0</v>
      </c>
      <c r="BQ576">
        <v>0</v>
      </c>
      <c r="BR576">
        <v>0</v>
      </c>
      <c r="BS576">
        <v>0</v>
      </c>
      <c r="BT576">
        <v>0</v>
      </c>
      <c r="BU576">
        <v>0</v>
      </c>
      <c r="BV576">
        <v>0</v>
      </c>
      <c r="BW576">
        <v>0</v>
      </c>
      <c r="BX576">
        <v>0</v>
      </c>
      <c r="BY576">
        <v>0</v>
      </c>
      <c r="BZ576">
        <v>0</v>
      </c>
      <c r="CA576">
        <v>0</v>
      </c>
      <c r="CB576">
        <v>0</v>
      </c>
    </row>
    <row r="577" spans="1:80" x14ac:dyDescent="0.2">
      <c r="A577">
        <v>0</v>
      </c>
      <c r="B577">
        <v>0</v>
      </c>
      <c r="C577">
        <v>0</v>
      </c>
      <c r="D577">
        <v>0</v>
      </c>
      <c r="E577">
        <v>0</v>
      </c>
      <c r="F577">
        <v>0</v>
      </c>
      <c r="G577">
        <v>0</v>
      </c>
      <c r="H577">
        <v>0</v>
      </c>
      <c r="I577">
        <v>0</v>
      </c>
      <c r="J577">
        <v>0</v>
      </c>
      <c r="K577">
        <v>0</v>
      </c>
      <c r="L577">
        <v>0</v>
      </c>
      <c r="M577">
        <v>0</v>
      </c>
      <c r="N577">
        <v>0</v>
      </c>
      <c r="O577">
        <v>0</v>
      </c>
      <c r="P577">
        <v>0</v>
      </c>
      <c r="Q577">
        <v>0</v>
      </c>
      <c r="R577">
        <v>0</v>
      </c>
      <c r="S577">
        <v>0</v>
      </c>
      <c r="T577">
        <v>0</v>
      </c>
      <c r="U577">
        <v>0</v>
      </c>
      <c r="V577">
        <v>0</v>
      </c>
      <c r="W577">
        <v>0</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v>0</v>
      </c>
      <c r="BI577">
        <v>0</v>
      </c>
      <c r="BJ577">
        <v>0</v>
      </c>
      <c r="BK577">
        <v>0</v>
      </c>
      <c r="BL577">
        <v>0</v>
      </c>
      <c r="BM577">
        <v>0</v>
      </c>
      <c r="BN577">
        <v>0</v>
      </c>
      <c r="BO577">
        <v>0</v>
      </c>
      <c r="BP577">
        <v>0</v>
      </c>
      <c r="BQ577">
        <v>0</v>
      </c>
      <c r="BR577">
        <v>0</v>
      </c>
      <c r="BS577">
        <v>0</v>
      </c>
      <c r="BT577">
        <v>0</v>
      </c>
      <c r="BU577">
        <v>0</v>
      </c>
      <c r="BV577">
        <v>0</v>
      </c>
      <c r="BW577">
        <v>0</v>
      </c>
      <c r="BX577">
        <v>0</v>
      </c>
      <c r="BY577">
        <v>0</v>
      </c>
      <c r="BZ577">
        <v>0</v>
      </c>
      <c r="CA577">
        <v>0</v>
      </c>
      <c r="CB577">
        <v>0</v>
      </c>
    </row>
    <row r="578" spans="1:80" x14ac:dyDescent="0.2">
      <c r="A578">
        <v>0</v>
      </c>
      <c r="B578">
        <v>0</v>
      </c>
      <c r="C578">
        <v>0</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0</v>
      </c>
      <c r="AV578">
        <v>0</v>
      </c>
      <c r="AW578">
        <v>0</v>
      </c>
      <c r="AX578">
        <v>0</v>
      </c>
      <c r="AY578">
        <v>0</v>
      </c>
      <c r="AZ578">
        <v>0</v>
      </c>
      <c r="BA578">
        <v>0</v>
      </c>
      <c r="BB578">
        <v>0</v>
      </c>
      <c r="BC578">
        <v>0</v>
      </c>
      <c r="BD578">
        <v>0</v>
      </c>
      <c r="BE578">
        <v>0</v>
      </c>
      <c r="BF578">
        <v>0</v>
      </c>
      <c r="BG578">
        <v>0</v>
      </c>
      <c r="BH578">
        <v>0</v>
      </c>
      <c r="BI578">
        <v>0</v>
      </c>
      <c r="BJ578">
        <v>0</v>
      </c>
      <c r="BK578">
        <v>0</v>
      </c>
      <c r="BL578">
        <v>0</v>
      </c>
      <c r="BM578">
        <v>0</v>
      </c>
      <c r="BN578">
        <v>0</v>
      </c>
      <c r="BO578">
        <v>0</v>
      </c>
      <c r="BP578">
        <v>0</v>
      </c>
      <c r="BQ578">
        <v>0</v>
      </c>
      <c r="BR578">
        <v>0</v>
      </c>
      <c r="BS578">
        <v>0</v>
      </c>
      <c r="BT578">
        <v>0</v>
      </c>
      <c r="BU578">
        <v>0</v>
      </c>
      <c r="BV578">
        <v>0</v>
      </c>
      <c r="BW578">
        <v>0</v>
      </c>
      <c r="BX578">
        <v>0</v>
      </c>
      <c r="BY578">
        <v>0</v>
      </c>
      <c r="BZ578">
        <v>0</v>
      </c>
      <c r="CA578">
        <v>0</v>
      </c>
      <c r="CB578">
        <v>0</v>
      </c>
    </row>
    <row r="579" spans="1:80" x14ac:dyDescent="0.2">
      <c r="A579">
        <v>0</v>
      </c>
      <c r="B579">
        <v>0</v>
      </c>
      <c r="C579">
        <v>0</v>
      </c>
      <c r="D579">
        <v>0</v>
      </c>
      <c r="E579">
        <v>0</v>
      </c>
      <c r="F579">
        <v>0</v>
      </c>
      <c r="G579">
        <v>0</v>
      </c>
      <c r="H579">
        <v>0</v>
      </c>
      <c r="I579">
        <v>0</v>
      </c>
      <c r="J579">
        <v>0</v>
      </c>
      <c r="K579">
        <v>0</v>
      </c>
      <c r="L579">
        <v>0</v>
      </c>
      <c r="M579">
        <v>0</v>
      </c>
      <c r="N579">
        <v>0</v>
      </c>
      <c r="O579">
        <v>0</v>
      </c>
      <c r="P579">
        <v>0</v>
      </c>
      <c r="Q579">
        <v>0</v>
      </c>
      <c r="R579">
        <v>0</v>
      </c>
      <c r="S579">
        <v>0</v>
      </c>
      <c r="T579">
        <v>0</v>
      </c>
      <c r="U579">
        <v>0</v>
      </c>
      <c r="V579">
        <v>0</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0</v>
      </c>
      <c r="AX579">
        <v>0</v>
      </c>
      <c r="AY579">
        <v>0</v>
      </c>
      <c r="AZ579">
        <v>0</v>
      </c>
      <c r="BA579">
        <v>0</v>
      </c>
      <c r="BB579">
        <v>0</v>
      </c>
      <c r="BC579">
        <v>0</v>
      </c>
      <c r="BD579">
        <v>0</v>
      </c>
      <c r="BE579">
        <v>0</v>
      </c>
      <c r="BF579">
        <v>0</v>
      </c>
      <c r="BG579">
        <v>0</v>
      </c>
      <c r="BH579">
        <v>0</v>
      </c>
      <c r="BI579">
        <v>0</v>
      </c>
      <c r="BJ579">
        <v>0</v>
      </c>
      <c r="BK579">
        <v>0</v>
      </c>
      <c r="BL579">
        <v>0</v>
      </c>
      <c r="BM579">
        <v>0</v>
      </c>
      <c r="BN579">
        <v>0</v>
      </c>
      <c r="BO579">
        <v>0</v>
      </c>
      <c r="BP579">
        <v>0</v>
      </c>
      <c r="BQ579">
        <v>0</v>
      </c>
      <c r="BR579">
        <v>0</v>
      </c>
      <c r="BS579">
        <v>0</v>
      </c>
      <c r="BT579">
        <v>0</v>
      </c>
      <c r="BU579">
        <v>0</v>
      </c>
      <c r="BV579">
        <v>0</v>
      </c>
      <c r="BW579">
        <v>0</v>
      </c>
      <c r="BX579">
        <v>0</v>
      </c>
      <c r="BY579">
        <v>0</v>
      </c>
      <c r="BZ579">
        <v>0</v>
      </c>
      <c r="CA579">
        <v>0</v>
      </c>
      <c r="CB579">
        <v>0</v>
      </c>
    </row>
    <row r="580" spans="1:80" x14ac:dyDescent="0.2">
      <c r="A580">
        <v>0</v>
      </c>
      <c r="B580">
        <v>0</v>
      </c>
      <c r="C580">
        <v>0</v>
      </c>
      <c r="D580">
        <v>0</v>
      </c>
      <c r="E580">
        <v>0</v>
      </c>
      <c r="F580">
        <v>0</v>
      </c>
      <c r="G580">
        <v>0</v>
      </c>
      <c r="H580">
        <v>0</v>
      </c>
      <c r="I580">
        <v>0</v>
      </c>
      <c r="J580">
        <v>0</v>
      </c>
      <c r="K580">
        <v>0</v>
      </c>
      <c r="L580">
        <v>0</v>
      </c>
      <c r="M580">
        <v>0</v>
      </c>
      <c r="N580">
        <v>0</v>
      </c>
      <c r="O580">
        <v>0</v>
      </c>
      <c r="P580">
        <v>0</v>
      </c>
      <c r="Q580">
        <v>0</v>
      </c>
      <c r="R580">
        <v>0</v>
      </c>
      <c r="S580">
        <v>0</v>
      </c>
      <c r="T580">
        <v>0</v>
      </c>
      <c r="U580">
        <v>0</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v>0</v>
      </c>
      <c r="AW580">
        <v>0</v>
      </c>
      <c r="AX580">
        <v>0</v>
      </c>
      <c r="AY580">
        <v>0</v>
      </c>
      <c r="AZ580">
        <v>0</v>
      </c>
      <c r="BA580">
        <v>0</v>
      </c>
      <c r="BB580">
        <v>0</v>
      </c>
      <c r="BC580">
        <v>0</v>
      </c>
      <c r="BD580">
        <v>0</v>
      </c>
      <c r="BE580">
        <v>0</v>
      </c>
      <c r="BF580">
        <v>0</v>
      </c>
      <c r="BG580">
        <v>0</v>
      </c>
      <c r="BH580">
        <v>0</v>
      </c>
      <c r="BI580">
        <v>0</v>
      </c>
      <c r="BJ580">
        <v>0</v>
      </c>
      <c r="BK580">
        <v>0</v>
      </c>
      <c r="BL580">
        <v>0</v>
      </c>
      <c r="BM580">
        <v>0</v>
      </c>
      <c r="BN580">
        <v>0</v>
      </c>
      <c r="BO580">
        <v>0</v>
      </c>
      <c r="BP580">
        <v>0</v>
      </c>
      <c r="BQ580">
        <v>0</v>
      </c>
      <c r="BR580">
        <v>0</v>
      </c>
      <c r="BS580">
        <v>0</v>
      </c>
      <c r="BT580">
        <v>0</v>
      </c>
      <c r="BU580">
        <v>0</v>
      </c>
      <c r="BV580">
        <v>0</v>
      </c>
      <c r="BW580">
        <v>0</v>
      </c>
      <c r="BX580">
        <v>0</v>
      </c>
      <c r="BY580">
        <v>0</v>
      </c>
      <c r="BZ580">
        <v>0</v>
      </c>
      <c r="CA580">
        <v>0</v>
      </c>
      <c r="CB580">
        <v>0</v>
      </c>
    </row>
    <row r="581" spans="1:80" x14ac:dyDescent="0.2">
      <c r="A581">
        <v>0</v>
      </c>
      <c r="B581">
        <v>0</v>
      </c>
      <c r="C581">
        <v>0</v>
      </c>
      <c r="D581">
        <v>0</v>
      </c>
      <c r="E581">
        <v>0</v>
      </c>
      <c r="F581">
        <v>0</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v>
      </c>
      <c r="AT581">
        <v>0</v>
      </c>
      <c r="AU581">
        <v>0</v>
      </c>
      <c r="AV581">
        <v>0</v>
      </c>
      <c r="AW581">
        <v>0</v>
      </c>
      <c r="AX581">
        <v>0</v>
      </c>
      <c r="AY581">
        <v>0</v>
      </c>
      <c r="AZ581">
        <v>0</v>
      </c>
      <c r="BA581">
        <v>0</v>
      </c>
      <c r="BB581">
        <v>0</v>
      </c>
      <c r="BC581">
        <v>0</v>
      </c>
      <c r="BD581">
        <v>0</v>
      </c>
      <c r="BE581">
        <v>0</v>
      </c>
      <c r="BF581">
        <v>0</v>
      </c>
      <c r="BG581">
        <v>0</v>
      </c>
      <c r="BH581">
        <v>0</v>
      </c>
      <c r="BI581">
        <v>0</v>
      </c>
      <c r="BJ581">
        <v>0</v>
      </c>
      <c r="BK581">
        <v>0</v>
      </c>
      <c r="BL581">
        <v>0</v>
      </c>
      <c r="BM581">
        <v>0</v>
      </c>
      <c r="BN581">
        <v>0</v>
      </c>
      <c r="BO581">
        <v>0</v>
      </c>
      <c r="BP581">
        <v>0</v>
      </c>
      <c r="BQ581">
        <v>0</v>
      </c>
      <c r="BR581">
        <v>0</v>
      </c>
      <c r="BS581">
        <v>0</v>
      </c>
      <c r="BT581">
        <v>0</v>
      </c>
      <c r="BU581">
        <v>0</v>
      </c>
      <c r="BV581">
        <v>0</v>
      </c>
      <c r="BW581">
        <v>0</v>
      </c>
      <c r="BX581">
        <v>0</v>
      </c>
      <c r="BY581">
        <v>0</v>
      </c>
      <c r="BZ581">
        <v>0</v>
      </c>
      <c r="CA581">
        <v>0</v>
      </c>
      <c r="CB581">
        <v>0</v>
      </c>
    </row>
    <row r="582" spans="1:80" x14ac:dyDescent="0.2">
      <c r="A582">
        <v>0</v>
      </c>
      <c r="B582">
        <v>0</v>
      </c>
      <c r="C582">
        <v>0</v>
      </c>
      <c r="D582">
        <v>0</v>
      </c>
      <c r="E582">
        <v>0</v>
      </c>
      <c r="F582">
        <v>0</v>
      </c>
      <c r="G582">
        <v>0</v>
      </c>
      <c r="H582">
        <v>0</v>
      </c>
      <c r="I582">
        <v>0</v>
      </c>
      <c r="J582">
        <v>0</v>
      </c>
      <c r="K582">
        <v>0</v>
      </c>
      <c r="L582">
        <v>0</v>
      </c>
      <c r="M582">
        <v>0</v>
      </c>
      <c r="N582">
        <v>0</v>
      </c>
      <c r="O582">
        <v>0</v>
      </c>
      <c r="P582">
        <v>0</v>
      </c>
      <c r="Q582">
        <v>0</v>
      </c>
      <c r="R582">
        <v>0</v>
      </c>
      <c r="S582">
        <v>0</v>
      </c>
      <c r="T582">
        <v>0</v>
      </c>
      <c r="U582">
        <v>0</v>
      </c>
      <c r="V582">
        <v>0</v>
      </c>
      <c r="W582">
        <v>0</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c r="BD582">
        <v>0</v>
      </c>
      <c r="BE582">
        <v>0</v>
      </c>
      <c r="BF582">
        <v>0</v>
      </c>
      <c r="BG582">
        <v>0</v>
      </c>
      <c r="BH582">
        <v>0</v>
      </c>
      <c r="BI582">
        <v>0</v>
      </c>
      <c r="BJ582">
        <v>0</v>
      </c>
      <c r="BK582">
        <v>0</v>
      </c>
      <c r="BL582">
        <v>0</v>
      </c>
      <c r="BM582">
        <v>0</v>
      </c>
      <c r="BN582">
        <v>0</v>
      </c>
      <c r="BO582">
        <v>0</v>
      </c>
      <c r="BP582">
        <v>0</v>
      </c>
      <c r="BQ582">
        <v>0</v>
      </c>
      <c r="BR582">
        <v>0</v>
      </c>
      <c r="BS582">
        <v>0</v>
      </c>
      <c r="BT582">
        <v>0</v>
      </c>
      <c r="BU582">
        <v>0</v>
      </c>
      <c r="BV582">
        <v>0</v>
      </c>
      <c r="BW582">
        <v>0</v>
      </c>
      <c r="BX582">
        <v>0</v>
      </c>
      <c r="BY582">
        <v>0</v>
      </c>
      <c r="BZ582">
        <v>0</v>
      </c>
      <c r="CA582">
        <v>0</v>
      </c>
      <c r="CB582">
        <v>0</v>
      </c>
    </row>
    <row r="585" spans="1:80" x14ac:dyDescent="0.2">
      <c r="A585" s="15" t="s">
        <v>55</v>
      </c>
      <c r="B585" s="15" t="s">
        <v>56</v>
      </c>
      <c r="C585" s="15" t="s">
        <v>57</v>
      </c>
      <c r="D585" s="15" t="s">
        <v>58</v>
      </c>
      <c r="E585" s="15" t="s">
        <v>59</v>
      </c>
      <c r="F585" s="15" t="s">
        <v>60</v>
      </c>
      <c r="G585" s="15" t="s">
        <v>61</v>
      </c>
      <c r="H585" s="15" t="s">
        <v>62</v>
      </c>
      <c r="I585" s="15" t="s">
        <v>63</v>
      </c>
      <c r="J585" s="15" t="s">
        <v>64</v>
      </c>
      <c r="K585" s="15" t="s">
        <v>65</v>
      </c>
      <c r="L585" s="15" t="s">
        <v>66</v>
      </c>
      <c r="M585" s="15" t="s">
        <v>67</v>
      </c>
      <c r="N585" s="15" t="s">
        <v>68</v>
      </c>
      <c r="O585" s="15" t="s">
        <v>69</v>
      </c>
      <c r="P585" s="15" t="s">
        <v>70</v>
      </c>
    </row>
    <row r="586" spans="1:80" x14ac:dyDescent="0.2">
      <c r="A586" t="str">
        <f>'02 · Variables'!$B$7</f>
        <v/>
      </c>
      <c r="B586">
        <f>IF('02 · Variables'!$C$7&lt;&gt;"",1,0)</f>
        <v>0</v>
      </c>
      <c r="C586">
        <f>SUM(_motor!$A$11:$CB$11)</f>
        <v>0</v>
      </c>
      <c r="D586">
        <f>SUM(_motor!A$11:A$90)</f>
        <v>0</v>
      </c>
      <c r="E586">
        <f>SUM(_motor!$A$257:$CB$257)</f>
        <v>0</v>
      </c>
      <c r="F586">
        <f>SUM(_motor!A$257:A$336)</f>
        <v>0</v>
      </c>
      <c r="G586">
        <f>SUM(_motor!$A$93:$CB$93)</f>
        <v>0</v>
      </c>
      <c r="H586">
        <f>SUM(_motor!A$93:A$172)</f>
        <v>0</v>
      </c>
      <c r="I586">
        <f>SUM(_motor!$A$503:$CB$503)</f>
        <v>0</v>
      </c>
      <c r="J586">
        <f>SUM(_motor!A$503:A$582)</f>
        <v>0</v>
      </c>
      <c r="K586">
        <f>SUM(_motor!$A$175:$CB$175)</f>
        <v>0</v>
      </c>
      <c r="L586">
        <f>SUM(_motor!$A$339:$CB$339)</f>
        <v>0</v>
      </c>
      <c r="M586" t="str">
        <f>IF($B586=0,"",SUMPRODUCT(_motor!$B$586:$B$665*(_motor!$C$586:$C$665&gt;$C586))+(SUMPRODUCT(_motor!$B$586:$B$665*(_motor!$C$586:$C$665=$C586))+1)/2)</f>
        <v/>
      </c>
      <c r="N586" t="str">
        <f>IF($B586=0,"",SUMPRODUCT(_motor!$B$586:$B$665*(_motor!$K$586:$K$665&gt;$K586))+(SUMPRODUCT(_motor!$B$586:$B$665*(_motor!$K$586:$K$665=$K586))+1)/2)</f>
        <v/>
      </c>
      <c r="O586" t="str">
        <f>IF($B586=0,"",SUMPRODUCT(_motor!$B$586:$B$665*(_motor!$E$586:$E$665&gt;$E586))+(SUMPRODUCT(_motor!$B$586:$B$665*(_motor!$E$586:$E$665=$E586))+1)/2)</f>
        <v/>
      </c>
      <c r="P586" t="str">
        <f>IF($B586=0,"",SUMPRODUCT(_motor!$B$586:$B$665*(_motor!$L$586:$L$665&gt;$L586))+(SUMPRODUCT(_motor!$B$586:$B$665*(_motor!$L$586:$L$665=$L586))+1)/2)</f>
        <v/>
      </c>
    </row>
    <row r="587" spans="1:80" x14ac:dyDescent="0.2">
      <c r="A587" t="str">
        <f>'02 · Variables'!$B$8</f>
        <v/>
      </c>
      <c r="B587">
        <f>IF('02 · Variables'!$C$8&lt;&gt;"",1,0)</f>
        <v>0</v>
      </c>
      <c r="C587">
        <f>SUM(_motor!$A$12:$CB$12)</f>
        <v>0</v>
      </c>
      <c r="D587">
        <f>SUM(_motor!B$11:B$90)</f>
        <v>0</v>
      </c>
      <c r="E587">
        <f>SUM(_motor!$A$258:$CB$258)</f>
        <v>0</v>
      </c>
      <c r="F587">
        <f>SUM(_motor!B$257:B$336)</f>
        <v>0</v>
      </c>
      <c r="G587">
        <f>SUM(_motor!$A$94:$CB$94)</f>
        <v>0</v>
      </c>
      <c r="H587">
        <f>SUM(_motor!B$93:B$172)</f>
        <v>0</v>
      </c>
      <c r="I587">
        <f>SUM(_motor!$A$504:$CB$504)</f>
        <v>0</v>
      </c>
      <c r="J587">
        <f>SUM(_motor!B$503:B$582)</f>
        <v>0</v>
      </c>
      <c r="K587">
        <f>SUM(_motor!$A$176:$CB$176)</f>
        <v>0</v>
      </c>
      <c r="L587">
        <f>SUM(_motor!$A$340:$CB$340)</f>
        <v>0</v>
      </c>
      <c r="M587" t="str">
        <f>IF($B587=0,"",SUMPRODUCT(_motor!$B$586:$B$665*(_motor!$C$586:$C$665&gt;$C587))+(SUMPRODUCT(_motor!$B$586:$B$665*(_motor!$C$586:$C$665=$C587))+1)/2)</f>
        <v/>
      </c>
      <c r="N587" t="str">
        <f>IF($B587=0,"",SUMPRODUCT(_motor!$B$586:$B$665*(_motor!$K$586:$K$665&gt;$K587))+(SUMPRODUCT(_motor!$B$586:$B$665*(_motor!$K$586:$K$665=$K587))+1)/2)</f>
        <v/>
      </c>
      <c r="O587" t="str">
        <f>IF($B587=0,"",SUMPRODUCT(_motor!$B$586:$B$665*(_motor!$E$586:$E$665&gt;$E587))+(SUMPRODUCT(_motor!$B$586:$B$665*(_motor!$E$586:$E$665=$E587))+1)/2)</f>
        <v/>
      </c>
      <c r="P587" t="str">
        <f>IF($B587=0,"",SUMPRODUCT(_motor!$B$586:$B$665*(_motor!$L$586:$L$665&gt;$L587))+(SUMPRODUCT(_motor!$B$586:$B$665*(_motor!$L$586:$L$665=$L587))+1)/2)</f>
        <v/>
      </c>
    </row>
    <row r="588" spans="1:80" x14ac:dyDescent="0.2">
      <c r="A588" t="str">
        <f>'02 · Variables'!$B$9</f>
        <v/>
      </c>
      <c r="B588">
        <f>IF('02 · Variables'!$C$9&lt;&gt;"",1,0)</f>
        <v>0</v>
      </c>
      <c r="C588">
        <f>SUM(_motor!$A$13:$CB$13)</f>
        <v>0</v>
      </c>
      <c r="D588">
        <f>SUM(_motor!C$11:C$90)</f>
        <v>0</v>
      </c>
      <c r="E588">
        <f>SUM(_motor!$A$259:$CB$259)</f>
        <v>0</v>
      </c>
      <c r="F588">
        <f>SUM(_motor!C$257:C$336)</f>
        <v>0</v>
      </c>
      <c r="G588">
        <f>SUM(_motor!$A$95:$CB$95)</f>
        <v>0</v>
      </c>
      <c r="H588">
        <f>SUM(_motor!C$93:C$172)</f>
        <v>0</v>
      </c>
      <c r="I588">
        <f>SUM(_motor!$A$505:$CB$505)</f>
        <v>0</v>
      </c>
      <c r="J588">
        <f>SUM(_motor!C$503:C$582)</f>
        <v>0</v>
      </c>
      <c r="K588">
        <f>SUM(_motor!$A$177:$CB$177)</f>
        <v>0</v>
      </c>
      <c r="L588">
        <f>SUM(_motor!$A$341:$CB$341)</f>
        <v>0</v>
      </c>
      <c r="M588" t="str">
        <f>IF($B588=0,"",SUMPRODUCT(_motor!$B$586:$B$665*(_motor!$C$586:$C$665&gt;$C588))+(SUMPRODUCT(_motor!$B$586:$B$665*(_motor!$C$586:$C$665=$C588))+1)/2)</f>
        <v/>
      </c>
      <c r="N588" t="str">
        <f>IF($B588=0,"",SUMPRODUCT(_motor!$B$586:$B$665*(_motor!$K$586:$K$665&gt;$K588))+(SUMPRODUCT(_motor!$B$586:$B$665*(_motor!$K$586:$K$665=$K588))+1)/2)</f>
        <v/>
      </c>
      <c r="O588" t="str">
        <f>IF($B588=0,"",SUMPRODUCT(_motor!$B$586:$B$665*(_motor!$E$586:$E$665&gt;$E588))+(SUMPRODUCT(_motor!$B$586:$B$665*(_motor!$E$586:$E$665=$E588))+1)/2)</f>
        <v/>
      </c>
      <c r="P588" t="str">
        <f>IF($B588=0,"",SUMPRODUCT(_motor!$B$586:$B$665*(_motor!$L$586:$L$665&gt;$L588))+(SUMPRODUCT(_motor!$B$586:$B$665*(_motor!$L$586:$L$665=$L588))+1)/2)</f>
        <v/>
      </c>
    </row>
    <row r="589" spans="1:80" x14ac:dyDescent="0.2">
      <c r="A589" t="str">
        <f>'02 · Variables'!$B$10</f>
        <v/>
      </c>
      <c r="B589">
        <f>IF('02 · Variables'!$C$10&lt;&gt;"",1,0)</f>
        <v>0</v>
      </c>
      <c r="C589">
        <f>SUM(_motor!$A$14:$CB$14)</f>
        <v>0</v>
      </c>
      <c r="D589">
        <f>SUM(_motor!D$11:D$90)</f>
        <v>0</v>
      </c>
      <c r="E589">
        <f>SUM(_motor!$A$260:$CB$260)</f>
        <v>0</v>
      </c>
      <c r="F589">
        <f>SUM(_motor!D$257:D$336)</f>
        <v>0</v>
      </c>
      <c r="G589">
        <f>SUM(_motor!$A$96:$CB$96)</f>
        <v>0</v>
      </c>
      <c r="H589">
        <f>SUM(_motor!D$93:D$172)</f>
        <v>0</v>
      </c>
      <c r="I589">
        <f>SUM(_motor!$A$506:$CB$506)</f>
        <v>0</v>
      </c>
      <c r="J589">
        <f>SUM(_motor!D$503:D$582)</f>
        <v>0</v>
      </c>
      <c r="K589">
        <f>SUM(_motor!$A$178:$CB$178)</f>
        <v>0</v>
      </c>
      <c r="L589">
        <f>SUM(_motor!$A$342:$CB$342)</f>
        <v>0</v>
      </c>
      <c r="M589" t="str">
        <f>IF($B589=0,"",SUMPRODUCT(_motor!$B$586:$B$665*(_motor!$C$586:$C$665&gt;$C589))+(SUMPRODUCT(_motor!$B$586:$B$665*(_motor!$C$586:$C$665=$C589))+1)/2)</f>
        <v/>
      </c>
      <c r="N589" t="str">
        <f>IF($B589=0,"",SUMPRODUCT(_motor!$B$586:$B$665*(_motor!$K$586:$K$665&gt;$K589))+(SUMPRODUCT(_motor!$B$586:$B$665*(_motor!$K$586:$K$665=$K589))+1)/2)</f>
        <v/>
      </c>
      <c r="O589" t="str">
        <f>IF($B589=0,"",SUMPRODUCT(_motor!$B$586:$B$665*(_motor!$E$586:$E$665&gt;$E589))+(SUMPRODUCT(_motor!$B$586:$B$665*(_motor!$E$586:$E$665=$E589))+1)/2)</f>
        <v/>
      </c>
      <c r="P589" t="str">
        <f>IF($B589=0,"",SUMPRODUCT(_motor!$B$586:$B$665*(_motor!$L$586:$L$665&gt;$L589))+(SUMPRODUCT(_motor!$B$586:$B$665*(_motor!$L$586:$L$665=$L589))+1)/2)</f>
        <v/>
      </c>
    </row>
    <row r="590" spans="1:80" x14ac:dyDescent="0.2">
      <c r="A590" t="str">
        <f>'02 · Variables'!$B$11</f>
        <v/>
      </c>
      <c r="B590">
        <f>IF('02 · Variables'!$C$11&lt;&gt;"",1,0)</f>
        <v>0</v>
      </c>
      <c r="C590">
        <f>SUM(_motor!$A$15:$CB$15)</f>
        <v>0</v>
      </c>
      <c r="D590">
        <f>SUM(_motor!E$11:E$90)</f>
        <v>0</v>
      </c>
      <c r="E590">
        <f>SUM(_motor!$A$261:$CB$261)</f>
        <v>0</v>
      </c>
      <c r="F590">
        <f>SUM(_motor!E$257:E$336)</f>
        <v>0</v>
      </c>
      <c r="G590">
        <f>SUM(_motor!$A$97:$CB$97)</f>
        <v>0</v>
      </c>
      <c r="H590">
        <f>SUM(_motor!E$93:E$172)</f>
        <v>0</v>
      </c>
      <c r="I590">
        <f>SUM(_motor!$A$507:$CB$507)</f>
        <v>0</v>
      </c>
      <c r="J590">
        <f>SUM(_motor!E$503:E$582)</f>
        <v>0</v>
      </c>
      <c r="K590">
        <f>SUM(_motor!$A$179:$CB$179)</f>
        <v>0</v>
      </c>
      <c r="L590">
        <f>SUM(_motor!$A$343:$CB$343)</f>
        <v>0</v>
      </c>
      <c r="M590" t="str">
        <f>IF($B590=0,"",SUMPRODUCT(_motor!$B$586:$B$665*(_motor!$C$586:$C$665&gt;$C590))+(SUMPRODUCT(_motor!$B$586:$B$665*(_motor!$C$586:$C$665=$C590))+1)/2)</f>
        <v/>
      </c>
      <c r="N590" t="str">
        <f>IF($B590=0,"",SUMPRODUCT(_motor!$B$586:$B$665*(_motor!$K$586:$K$665&gt;$K590))+(SUMPRODUCT(_motor!$B$586:$B$665*(_motor!$K$586:$K$665=$K590))+1)/2)</f>
        <v/>
      </c>
      <c r="O590" t="str">
        <f>IF($B590=0,"",SUMPRODUCT(_motor!$B$586:$B$665*(_motor!$E$586:$E$665&gt;$E590))+(SUMPRODUCT(_motor!$B$586:$B$665*(_motor!$E$586:$E$665=$E590))+1)/2)</f>
        <v/>
      </c>
      <c r="P590" t="str">
        <f>IF($B590=0,"",SUMPRODUCT(_motor!$B$586:$B$665*(_motor!$L$586:$L$665&gt;$L590))+(SUMPRODUCT(_motor!$B$586:$B$665*(_motor!$L$586:$L$665=$L590))+1)/2)</f>
        <v/>
      </c>
    </row>
    <row r="591" spans="1:80" x14ac:dyDescent="0.2">
      <c r="A591" t="str">
        <f>'02 · Variables'!$B$12</f>
        <v/>
      </c>
      <c r="B591">
        <f>IF('02 · Variables'!$C$12&lt;&gt;"",1,0)</f>
        <v>0</v>
      </c>
      <c r="C591">
        <f>SUM(_motor!$A$16:$CB$16)</f>
        <v>0</v>
      </c>
      <c r="D591">
        <f>SUM(_motor!F$11:F$90)</f>
        <v>0</v>
      </c>
      <c r="E591">
        <f>SUM(_motor!$A$262:$CB$262)</f>
        <v>0</v>
      </c>
      <c r="F591">
        <f>SUM(_motor!F$257:F$336)</f>
        <v>0</v>
      </c>
      <c r="G591">
        <f>SUM(_motor!$A$98:$CB$98)</f>
        <v>0</v>
      </c>
      <c r="H591">
        <f>SUM(_motor!F$93:F$172)</f>
        <v>0</v>
      </c>
      <c r="I591">
        <f>SUM(_motor!$A$508:$CB$508)</f>
        <v>0</v>
      </c>
      <c r="J591">
        <f>SUM(_motor!F$503:F$582)</f>
        <v>0</v>
      </c>
      <c r="K591">
        <f>SUM(_motor!$A$180:$CB$180)</f>
        <v>0</v>
      </c>
      <c r="L591">
        <f>SUM(_motor!$A$344:$CB$344)</f>
        <v>0</v>
      </c>
      <c r="M591" t="str">
        <f>IF($B591=0,"",SUMPRODUCT(_motor!$B$586:$B$665*(_motor!$C$586:$C$665&gt;$C591))+(SUMPRODUCT(_motor!$B$586:$B$665*(_motor!$C$586:$C$665=$C591))+1)/2)</f>
        <v/>
      </c>
      <c r="N591" t="str">
        <f>IF($B591=0,"",SUMPRODUCT(_motor!$B$586:$B$665*(_motor!$K$586:$K$665&gt;$K591))+(SUMPRODUCT(_motor!$B$586:$B$665*(_motor!$K$586:$K$665=$K591))+1)/2)</f>
        <v/>
      </c>
      <c r="O591" t="str">
        <f>IF($B591=0,"",SUMPRODUCT(_motor!$B$586:$B$665*(_motor!$E$586:$E$665&gt;$E591))+(SUMPRODUCT(_motor!$B$586:$B$665*(_motor!$E$586:$E$665=$E591))+1)/2)</f>
        <v/>
      </c>
      <c r="P591" t="str">
        <f>IF($B591=0,"",SUMPRODUCT(_motor!$B$586:$B$665*(_motor!$L$586:$L$665&gt;$L591))+(SUMPRODUCT(_motor!$B$586:$B$665*(_motor!$L$586:$L$665=$L591))+1)/2)</f>
        <v/>
      </c>
    </row>
    <row r="592" spans="1:80" x14ac:dyDescent="0.2">
      <c r="A592" t="str">
        <f>'02 · Variables'!$B$13</f>
        <v/>
      </c>
      <c r="B592">
        <f>IF('02 · Variables'!$C$13&lt;&gt;"",1,0)</f>
        <v>0</v>
      </c>
      <c r="C592">
        <f>SUM(_motor!$A$17:$CB$17)</f>
        <v>0</v>
      </c>
      <c r="D592">
        <f>SUM(_motor!G$11:G$90)</f>
        <v>0</v>
      </c>
      <c r="E592">
        <f>SUM(_motor!$A$263:$CB$263)</f>
        <v>0</v>
      </c>
      <c r="F592">
        <f>SUM(_motor!G$257:G$336)</f>
        <v>0</v>
      </c>
      <c r="G592">
        <f>SUM(_motor!$A$99:$CB$99)</f>
        <v>0</v>
      </c>
      <c r="H592">
        <f>SUM(_motor!G$93:G$172)</f>
        <v>0</v>
      </c>
      <c r="I592">
        <f>SUM(_motor!$A$509:$CB$509)</f>
        <v>0</v>
      </c>
      <c r="J592">
        <f>SUM(_motor!G$503:G$582)</f>
        <v>0</v>
      </c>
      <c r="K592">
        <f>SUM(_motor!$A$181:$CB$181)</f>
        <v>0</v>
      </c>
      <c r="L592">
        <f>SUM(_motor!$A$345:$CB$345)</f>
        <v>0</v>
      </c>
      <c r="M592" t="str">
        <f>IF($B592=0,"",SUMPRODUCT(_motor!$B$586:$B$665*(_motor!$C$586:$C$665&gt;$C592))+(SUMPRODUCT(_motor!$B$586:$B$665*(_motor!$C$586:$C$665=$C592))+1)/2)</f>
        <v/>
      </c>
      <c r="N592" t="str">
        <f>IF($B592=0,"",SUMPRODUCT(_motor!$B$586:$B$665*(_motor!$K$586:$K$665&gt;$K592))+(SUMPRODUCT(_motor!$B$586:$B$665*(_motor!$K$586:$K$665=$K592))+1)/2)</f>
        <v/>
      </c>
      <c r="O592" t="str">
        <f>IF($B592=0,"",SUMPRODUCT(_motor!$B$586:$B$665*(_motor!$E$586:$E$665&gt;$E592))+(SUMPRODUCT(_motor!$B$586:$B$665*(_motor!$E$586:$E$665=$E592))+1)/2)</f>
        <v/>
      </c>
      <c r="P592" t="str">
        <f>IF($B592=0,"",SUMPRODUCT(_motor!$B$586:$B$665*(_motor!$L$586:$L$665&gt;$L592))+(SUMPRODUCT(_motor!$B$586:$B$665*(_motor!$L$586:$L$665=$L592))+1)/2)</f>
        <v/>
      </c>
    </row>
    <row r="593" spans="1:16" x14ac:dyDescent="0.2">
      <c r="A593" t="str">
        <f>'02 · Variables'!$B$14</f>
        <v/>
      </c>
      <c r="B593">
        <f>IF('02 · Variables'!$C$14&lt;&gt;"",1,0)</f>
        <v>0</v>
      </c>
      <c r="C593">
        <f>SUM(_motor!$A$18:$CB$18)</f>
        <v>0</v>
      </c>
      <c r="D593">
        <f>SUM(_motor!H$11:H$90)</f>
        <v>0</v>
      </c>
      <c r="E593">
        <f>SUM(_motor!$A$264:$CB$264)</f>
        <v>0</v>
      </c>
      <c r="F593">
        <f>SUM(_motor!H$257:H$336)</f>
        <v>0</v>
      </c>
      <c r="G593">
        <f>SUM(_motor!$A$100:$CB$100)</f>
        <v>0</v>
      </c>
      <c r="H593">
        <f>SUM(_motor!H$93:H$172)</f>
        <v>0</v>
      </c>
      <c r="I593">
        <f>SUM(_motor!$A$510:$CB$510)</f>
        <v>0</v>
      </c>
      <c r="J593">
        <f>SUM(_motor!H$503:H$582)</f>
        <v>0</v>
      </c>
      <c r="K593">
        <f>SUM(_motor!$A$182:$CB$182)</f>
        <v>0</v>
      </c>
      <c r="L593">
        <f>SUM(_motor!$A$346:$CB$346)</f>
        <v>0</v>
      </c>
      <c r="M593" t="str">
        <f>IF($B593=0,"",SUMPRODUCT(_motor!$B$586:$B$665*(_motor!$C$586:$C$665&gt;$C593))+(SUMPRODUCT(_motor!$B$586:$B$665*(_motor!$C$586:$C$665=$C593))+1)/2)</f>
        <v/>
      </c>
      <c r="N593" t="str">
        <f>IF($B593=0,"",SUMPRODUCT(_motor!$B$586:$B$665*(_motor!$K$586:$K$665&gt;$K593))+(SUMPRODUCT(_motor!$B$586:$B$665*(_motor!$K$586:$K$665=$K593))+1)/2)</f>
        <v/>
      </c>
      <c r="O593" t="str">
        <f>IF($B593=0,"",SUMPRODUCT(_motor!$B$586:$B$665*(_motor!$E$586:$E$665&gt;$E593))+(SUMPRODUCT(_motor!$B$586:$B$665*(_motor!$E$586:$E$665=$E593))+1)/2)</f>
        <v/>
      </c>
      <c r="P593" t="str">
        <f>IF($B593=0,"",SUMPRODUCT(_motor!$B$586:$B$665*(_motor!$L$586:$L$665&gt;$L593))+(SUMPRODUCT(_motor!$B$586:$B$665*(_motor!$L$586:$L$665=$L593))+1)/2)</f>
        <v/>
      </c>
    </row>
    <row r="594" spans="1:16" x14ac:dyDescent="0.2">
      <c r="A594" t="str">
        <f>'02 · Variables'!$B$15</f>
        <v/>
      </c>
      <c r="B594">
        <f>IF('02 · Variables'!$C$15&lt;&gt;"",1,0)</f>
        <v>0</v>
      </c>
      <c r="C594">
        <f>SUM(_motor!$A$19:$CB$19)</f>
        <v>0</v>
      </c>
      <c r="D594">
        <f>SUM(_motor!I$11:I$90)</f>
        <v>0</v>
      </c>
      <c r="E594">
        <f>SUM(_motor!$A$265:$CB$265)</f>
        <v>0</v>
      </c>
      <c r="F594">
        <f>SUM(_motor!I$257:I$336)</f>
        <v>0</v>
      </c>
      <c r="G594">
        <f>SUM(_motor!$A$101:$CB$101)</f>
        <v>0</v>
      </c>
      <c r="H594">
        <f>SUM(_motor!I$93:I$172)</f>
        <v>0</v>
      </c>
      <c r="I594">
        <f>SUM(_motor!$A$511:$CB$511)</f>
        <v>0</v>
      </c>
      <c r="J594">
        <f>SUM(_motor!I$503:I$582)</f>
        <v>0</v>
      </c>
      <c r="K594">
        <f>SUM(_motor!$A$183:$CB$183)</f>
        <v>0</v>
      </c>
      <c r="L594">
        <f>SUM(_motor!$A$347:$CB$347)</f>
        <v>0</v>
      </c>
      <c r="M594" t="str">
        <f>IF($B594=0,"",SUMPRODUCT(_motor!$B$586:$B$665*(_motor!$C$586:$C$665&gt;$C594))+(SUMPRODUCT(_motor!$B$586:$B$665*(_motor!$C$586:$C$665=$C594))+1)/2)</f>
        <v/>
      </c>
      <c r="N594" t="str">
        <f>IF($B594=0,"",SUMPRODUCT(_motor!$B$586:$B$665*(_motor!$K$586:$K$665&gt;$K594))+(SUMPRODUCT(_motor!$B$586:$B$665*(_motor!$K$586:$K$665=$K594))+1)/2)</f>
        <v/>
      </c>
      <c r="O594" t="str">
        <f>IF($B594=0,"",SUMPRODUCT(_motor!$B$586:$B$665*(_motor!$E$586:$E$665&gt;$E594))+(SUMPRODUCT(_motor!$B$586:$B$665*(_motor!$E$586:$E$665=$E594))+1)/2)</f>
        <v/>
      </c>
      <c r="P594" t="str">
        <f>IF($B594=0,"",SUMPRODUCT(_motor!$B$586:$B$665*(_motor!$L$586:$L$665&gt;$L594))+(SUMPRODUCT(_motor!$B$586:$B$665*(_motor!$L$586:$L$665=$L594))+1)/2)</f>
        <v/>
      </c>
    </row>
    <row r="595" spans="1:16" x14ac:dyDescent="0.2">
      <c r="A595" t="str">
        <f>'02 · Variables'!$B$16</f>
        <v/>
      </c>
      <c r="B595">
        <f>IF('02 · Variables'!$C$16&lt;&gt;"",1,0)</f>
        <v>0</v>
      </c>
      <c r="C595">
        <f>SUM(_motor!$A$20:$CB$20)</f>
        <v>0</v>
      </c>
      <c r="D595">
        <f>SUM(_motor!J$11:J$90)</f>
        <v>0</v>
      </c>
      <c r="E595">
        <f>SUM(_motor!$A$266:$CB$266)</f>
        <v>0</v>
      </c>
      <c r="F595">
        <f>SUM(_motor!J$257:J$336)</f>
        <v>0</v>
      </c>
      <c r="G595">
        <f>SUM(_motor!$A$102:$CB$102)</f>
        <v>0</v>
      </c>
      <c r="H595">
        <f>SUM(_motor!J$93:J$172)</f>
        <v>0</v>
      </c>
      <c r="I595">
        <f>SUM(_motor!$A$512:$CB$512)</f>
        <v>0</v>
      </c>
      <c r="J595">
        <f>SUM(_motor!J$503:J$582)</f>
        <v>0</v>
      </c>
      <c r="K595">
        <f>SUM(_motor!$A$184:$CB$184)</f>
        <v>0</v>
      </c>
      <c r="L595">
        <f>SUM(_motor!$A$348:$CB$348)</f>
        <v>0</v>
      </c>
      <c r="M595" t="str">
        <f>IF($B595=0,"",SUMPRODUCT(_motor!$B$586:$B$665*(_motor!$C$586:$C$665&gt;$C595))+(SUMPRODUCT(_motor!$B$586:$B$665*(_motor!$C$586:$C$665=$C595))+1)/2)</f>
        <v/>
      </c>
      <c r="N595" t="str">
        <f>IF($B595=0,"",SUMPRODUCT(_motor!$B$586:$B$665*(_motor!$K$586:$K$665&gt;$K595))+(SUMPRODUCT(_motor!$B$586:$B$665*(_motor!$K$586:$K$665=$K595))+1)/2)</f>
        <v/>
      </c>
      <c r="O595" t="str">
        <f>IF($B595=0,"",SUMPRODUCT(_motor!$B$586:$B$665*(_motor!$E$586:$E$665&gt;$E595))+(SUMPRODUCT(_motor!$B$586:$B$665*(_motor!$E$586:$E$665=$E595))+1)/2)</f>
        <v/>
      </c>
      <c r="P595" t="str">
        <f>IF($B595=0,"",SUMPRODUCT(_motor!$B$586:$B$665*(_motor!$L$586:$L$665&gt;$L595))+(SUMPRODUCT(_motor!$B$586:$B$665*(_motor!$L$586:$L$665=$L595))+1)/2)</f>
        <v/>
      </c>
    </row>
    <row r="596" spans="1:16" x14ac:dyDescent="0.2">
      <c r="A596" t="str">
        <f>'02 · Variables'!$B$17</f>
        <v/>
      </c>
      <c r="B596">
        <f>IF('02 · Variables'!$C$17&lt;&gt;"",1,0)</f>
        <v>0</v>
      </c>
      <c r="C596">
        <f>SUM(_motor!$A$21:$CB$21)</f>
        <v>0</v>
      </c>
      <c r="D596">
        <f>SUM(_motor!K$11:K$90)</f>
        <v>0</v>
      </c>
      <c r="E596">
        <f>SUM(_motor!$A$267:$CB$267)</f>
        <v>0</v>
      </c>
      <c r="F596">
        <f>SUM(_motor!K$257:K$336)</f>
        <v>0</v>
      </c>
      <c r="G596">
        <f>SUM(_motor!$A$103:$CB$103)</f>
        <v>0</v>
      </c>
      <c r="H596">
        <f>SUM(_motor!K$93:K$172)</f>
        <v>0</v>
      </c>
      <c r="I596">
        <f>SUM(_motor!$A$513:$CB$513)</f>
        <v>0</v>
      </c>
      <c r="J596">
        <f>SUM(_motor!K$503:K$582)</f>
        <v>0</v>
      </c>
      <c r="K596">
        <f>SUM(_motor!$A$185:$CB$185)</f>
        <v>0</v>
      </c>
      <c r="L596">
        <f>SUM(_motor!$A$349:$CB$349)</f>
        <v>0</v>
      </c>
      <c r="M596" t="str">
        <f>IF($B596=0,"",SUMPRODUCT(_motor!$B$586:$B$665*(_motor!$C$586:$C$665&gt;$C596))+(SUMPRODUCT(_motor!$B$586:$B$665*(_motor!$C$586:$C$665=$C596))+1)/2)</f>
        <v/>
      </c>
      <c r="N596" t="str">
        <f>IF($B596=0,"",SUMPRODUCT(_motor!$B$586:$B$665*(_motor!$K$586:$K$665&gt;$K596))+(SUMPRODUCT(_motor!$B$586:$B$665*(_motor!$K$586:$K$665=$K596))+1)/2)</f>
        <v/>
      </c>
      <c r="O596" t="str">
        <f>IF($B596=0,"",SUMPRODUCT(_motor!$B$586:$B$665*(_motor!$E$586:$E$665&gt;$E596))+(SUMPRODUCT(_motor!$B$586:$B$665*(_motor!$E$586:$E$665=$E596))+1)/2)</f>
        <v/>
      </c>
      <c r="P596" t="str">
        <f>IF($B596=0,"",SUMPRODUCT(_motor!$B$586:$B$665*(_motor!$L$586:$L$665&gt;$L596))+(SUMPRODUCT(_motor!$B$586:$B$665*(_motor!$L$586:$L$665=$L596))+1)/2)</f>
        <v/>
      </c>
    </row>
    <row r="597" spans="1:16" x14ac:dyDescent="0.2">
      <c r="A597" t="str">
        <f>'02 · Variables'!$B$18</f>
        <v/>
      </c>
      <c r="B597">
        <f>IF('02 · Variables'!$C$18&lt;&gt;"",1,0)</f>
        <v>0</v>
      </c>
      <c r="C597">
        <f>SUM(_motor!$A$22:$CB$22)</f>
        <v>0</v>
      </c>
      <c r="D597">
        <f>SUM(_motor!L$11:L$90)</f>
        <v>0</v>
      </c>
      <c r="E597">
        <f>SUM(_motor!$A$268:$CB$268)</f>
        <v>0</v>
      </c>
      <c r="F597">
        <f>SUM(_motor!L$257:L$336)</f>
        <v>0</v>
      </c>
      <c r="G597">
        <f>SUM(_motor!$A$104:$CB$104)</f>
        <v>0</v>
      </c>
      <c r="H597">
        <f>SUM(_motor!L$93:L$172)</f>
        <v>0</v>
      </c>
      <c r="I597">
        <f>SUM(_motor!$A$514:$CB$514)</f>
        <v>0</v>
      </c>
      <c r="J597">
        <f>SUM(_motor!L$503:L$582)</f>
        <v>0</v>
      </c>
      <c r="K597">
        <f>SUM(_motor!$A$186:$CB$186)</f>
        <v>0</v>
      </c>
      <c r="L597">
        <f>SUM(_motor!$A$350:$CB$350)</f>
        <v>0</v>
      </c>
      <c r="M597" t="str">
        <f>IF($B597=0,"",SUMPRODUCT(_motor!$B$586:$B$665*(_motor!$C$586:$C$665&gt;$C597))+(SUMPRODUCT(_motor!$B$586:$B$665*(_motor!$C$586:$C$665=$C597))+1)/2)</f>
        <v/>
      </c>
      <c r="N597" t="str">
        <f>IF($B597=0,"",SUMPRODUCT(_motor!$B$586:$B$665*(_motor!$K$586:$K$665&gt;$K597))+(SUMPRODUCT(_motor!$B$586:$B$665*(_motor!$K$586:$K$665=$K597))+1)/2)</f>
        <v/>
      </c>
      <c r="O597" t="str">
        <f>IF($B597=0,"",SUMPRODUCT(_motor!$B$586:$B$665*(_motor!$E$586:$E$665&gt;$E597))+(SUMPRODUCT(_motor!$B$586:$B$665*(_motor!$E$586:$E$665=$E597))+1)/2)</f>
        <v/>
      </c>
      <c r="P597" t="str">
        <f>IF($B597=0,"",SUMPRODUCT(_motor!$B$586:$B$665*(_motor!$L$586:$L$665&gt;$L597))+(SUMPRODUCT(_motor!$B$586:$B$665*(_motor!$L$586:$L$665=$L597))+1)/2)</f>
        <v/>
      </c>
    </row>
    <row r="598" spans="1:16" x14ac:dyDescent="0.2">
      <c r="A598" t="str">
        <f>'02 · Variables'!$B$19</f>
        <v/>
      </c>
      <c r="B598">
        <f>IF('02 · Variables'!$C$19&lt;&gt;"",1,0)</f>
        <v>0</v>
      </c>
      <c r="C598">
        <f>SUM(_motor!$A$23:$CB$23)</f>
        <v>0</v>
      </c>
      <c r="D598">
        <f>SUM(_motor!M$11:M$90)</f>
        <v>0</v>
      </c>
      <c r="E598">
        <f>SUM(_motor!$A$269:$CB$269)</f>
        <v>0</v>
      </c>
      <c r="F598">
        <f>SUM(_motor!M$257:M$336)</f>
        <v>0</v>
      </c>
      <c r="G598">
        <f>SUM(_motor!$A$105:$CB$105)</f>
        <v>0</v>
      </c>
      <c r="H598">
        <f>SUM(_motor!M$93:M$172)</f>
        <v>0</v>
      </c>
      <c r="I598">
        <f>SUM(_motor!$A$515:$CB$515)</f>
        <v>0</v>
      </c>
      <c r="J598">
        <f>SUM(_motor!M$503:M$582)</f>
        <v>0</v>
      </c>
      <c r="K598">
        <f>SUM(_motor!$A$187:$CB$187)</f>
        <v>0</v>
      </c>
      <c r="L598">
        <f>SUM(_motor!$A$351:$CB$351)</f>
        <v>0</v>
      </c>
      <c r="M598" t="str">
        <f>IF($B598=0,"",SUMPRODUCT(_motor!$B$586:$B$665*(_motor!$C$586:$C$665&gt;$C598))+(SUMPRODUCT(_motor!$B$586:$B$665*(_motor!$C$586:$C$665=$C598))+1)/2)</f>
        <v/>
      </c>
      <c r="N598" t="str">
        <f>IF($B598=0,"",SUMPRODUCT(_motor!$B$586:$B$665*(_motor!$K$586:$K$665&gt;$K598))+(SUMPRODUCT(_motor!$B$586:$B$665*(_motor!$K$586:$K$665=$K598))+1)/2)</f>
        <v/>
      </c>
      <c r="O598" t="str">
        <f>IF($B598=0,"",SUMPRODUCT(_motor!$B$586:$B$665*(_motor!$E$586:$E$665&gt;$E598))+(SUMPRODUCT(_motor!$B$586:$B$665*(_motor!$E$586:$E$665=$E598))+1)/2)</f>
        <v/>
      </c>
      <c r="P598" t="str">
        <f>IF($B598=0,"",SUMPRODUCT(_motor!$B$586:$B$665*(_motor!$L$586:$L$665&gt;$L598))+(SUMPRODUCT(_motor!$B$586:$B$665*(_motor!$L$586:$L$665=$L598))+1)/2)</f>
        <v/>
      </c>
    </row>
    <row r="599" spans="1:16" x14ac:dyDescent="0.2">
      <c r="A599" t="str">
        <f>'02 · Variables'!$B$20</f>
        <v/>
      </c>
      <c r="B599">
        <f>IF('02 · Variables'!$C$20&lt;&gt;"",1,0)</f>
        <v>0</v>
      </c>
      <c r="C599">
        <f>SUM(_motor!$A$24:$CB$24)</f>
        <v>0</v>
      </c>
      <c r="D599">
        <f>SUM(_motor!N$11:N$90)</f>
        <v>0</v>
      </c>
      <c r="E599">
        <f>SUM(_motor!$A$270:$CB$270)</f>
        <v>0</v>
      </c>
      <c r="F599">
        <f>SUM(_motor!N$257:N$336)</f>
        <v>0</v>
      </c>
      <c r="G599">
        <f>SUM(_motor!$A$106:$CB$106)</f>
        <v>0</v>
      </c>
      <c r="H599">
        <f>SUM(_motor!N$93:N$172)</f>
        <v>0</v>
      </c>
      <c r="I599">
        <f>SUM(_motor!$A$516:$CB$516)</f>
        <v>0</v>
      </c>
      <c r="J599">
        <f>SUM(_motor!N$503:N$582)</f>
        <v>0</v>
      </c>
      <c r="K599">
        <f>SUM(_motor!$A$188:$CB$188)</f>
        <v>0</v>
      </c>
      <c r="L599">
        <f>SUM(_motor!$A$352:$CB$352)</f>
        <v>0</v>
      </c>
      <c r="M599" t="str">
        <f>IF($B599=0,"",SUMPRODUCT(_motor!$B$586:$B$665*(_motor!$C$586:$C$665&gt;$C599))+(SUMPRODUCT(_motor!$B$586:$B$665*(_motor!$C$586:$C$665=$C599))+1)/2)</f>
        <v/>
      </c>
      <c r="N599" t="str">
        <f>IF($B599=0,"",SUMPRODUCT(_motor!$B$586:$B$665*(_motor!$K$586:$K$665&gt;$K599))+(SUMPRODUCT(_motor!$B$586:$B$665*(_motor!$K$586:$K$665=$K599))+1)/2)</f>
        <v/>
      </c>
      <c r="O599" t="str">
        <f>IF($B599=0,"",SUMPRODUCT(_motor!$B$586:$B$665*(_motor!$E$586:$E$665&gt;$E599))+(SUMPRODUCT(_motor!$B$586:$B$665*(_motor!$E$586:$E$665=$E599))+1)/2)</f>
        <v/>
      </c>
      <c r="P599" t="str">
        <f>IF($B599=0,"",SUMPRODUCT(_motor!$B$586:$B$665*(_motor!$L$586:$L$665&gt;$L599))+(SUMPRODUCT(_motor!$B$586:$B$665*(_motor!$L$586:$L$665=$L599))+1)/2)</f>
        <v/>
      </c>
    </row>
    <row r="600" spans="1:16" x14ac:dyDescent="0.2">
      <c r="A600" t="str">
        <f>'02 · Variables'!$B$21</f>
        <v/>
      </c>
      <c r="B600">
        <f>IF('02 · Variables'!$C$21&lt;&gt;"",1,0)</f>
        <v>0</v>
      </c>
      <c r="C600">
        <f>SUM(_motor!$A$25:$CB$25)</f>
        <v>0</v>
      </c>
      <c r="D600">
        <f>SUM(_motor!O$11:O$90)</f>
        <v>0</v>
      </c>
      <c r="E600">
        <f>SUM(_motor!$A$271:$CB$271)</f>
        <v>0</v>
      </c>
      <c r="F600">
        <f>SUM(_motor!O$257:O$336)</f>
        <v>0</v>
      </c>
      <c r="G600">
        <f>SUM(_motor!$A$107:$CB$107)</f>
        <v>0</v>
      </c>
      <c r="H600">
        <f>SUM(_motor!O$93:O$172)</f>
        <v>0</v>
      </c>
      <c r="I600">
        <f>SUM(_motor!$A$517:$CB$517)</f>
        <v>0</v>
      </c>
      <c r="J600">
        <f>SUM(_motor!O$503:O$582)</f>
        <v>0</v>
      </c>
      <c r="K600">
        <f>SUM(_motor!$A$189:$CB$189)</f>
        <v>0</v>
      </c>
      <c r="L600">
        <f>SUM(_motor!$A$353:$CB$353)</f>
        <v>0</v>
      </c>
      <c r="M600" t="str">
        <f>IF($B600=0,"",SUMPRODUCT(_motor!$B$586:$B$665*(_motor!$C$586:$C$665&gt;$C600))+(SUMPRODUCT(_motor!$B$586:$B$665*(_motor!$C$586:$C$665=$C600))+1)/2)</f>
        <v/>
      </c>
      <c r="N600" t="str">
        <f>IF($B600=0,"",SUMPRODUCT(_motor!$B$586:$B$665*(_motor!$K$586:$K$665&gt;$K600))+(SUMPRODUCT(_motor!$B$586:$B$665*(_motor!$K$586:$K$665=$K600))+1)/2)</f>
        <v/>
      </c>
      <c r="O600" t="str">
        <f>IF($B600=0,"",SUMPRODUCT(_motor!$B$586:$B$665*(_motor!$E$586:$E$665&gt;$E600))+(SUMPRODUCT(_motor!$B$586:$B$665*(_motor!$E$586:$E$665=$E600))+1)/2)</f>
        <v/>
      </c>
      <c r="P600" t="str">
        <f>IF($B600=0,"",SUMPRODUCT(_motor!$B$586:$B$665*(_motor!$L$586:$L$665&gt;$L600))+(SUMPRODUCT(_motor!$B$586:$B$665*(_motor!$L$586:$L$665=$L600))+1)/2)</f>
        <v/>
      </c>
    </row>
    <row r="601" spans="1:16" x14ac:dyDescent="0.2">
      <c r="A601" t="str">
        <f>'02 · Variables'!$B$22</f>
        <v/>
      </c>
      <c r="B601">
        <f>IF('02 · Variables'!$C$22&lt;&gt;"",1,0)</f>
        <v>0</v>
      </c>
      <c r="C601">
        <f>SUM(_motor!$A$26:$CB$26)</f>
        <v>0</v>
      </c>
      <c r="D601">
        <f>SUM(_motor!P$11:P$90)</f>
        <v>0</v>
      </c>
      <c r="E601">
        <f>SUM(_motor!$A$272:$CB$272)</f>
        <v>0</v>
      </c>
      <c r="F601">
        <f>SUM(_motor!P$257:P$336)</f>
        <v>0</v>
      </c>
      <c r="G601">
        <f>SUM(_motor!$A$108:$CB$108)</f>
        <v>0</v>
      </c>
      <c r="H601">
        <f>SUM(_motor!P$93:P$172)</f>
        <v>0</v>
      </c>
      <c r="I601">
        <f>SUM(_motor!$A$518:$CB$518)</f>
        <v>0</v>
      </c>
      <c r="J601">
        <f>SUM(_motor!P$503:P$582)</f>
        <v>0</v>
      </c>
      <c r="K601">
        <f>SUM(_motor!$A$190:$CB$190)</f>
        <v>0</v>
      </c>
      <c r="L601">
        <f>SUM(_motor!$A$354:$CB$354)</f>
        <v>0</v>
      </c>
      <c r="M601" t="str">
        <f>IF($B601=0,"",SUMPRODUCT(_motor!$B$586:$B$665*(_motor!$C$586:$C$665&gt;$C601))+(SUMPRODUCT(_motor!$B$586:$B$665*(_motor!$C$586:$C$665=$C601))+1)/2)</f>
        <v/>
      </c>
      <c r="N601" t="str">
        <f>IF($B601=0,"",SUMPRODUCT(_motor!$B$586:$B$665*(_motor!$K$586:$K$665&gt;$K601))+(SUMPRODUCT(_motor!$B$586:$B$665*(_motor!$K$586:$K$665=$K601))+1)/2)</f>
        <v/>
      </c>
      <c r="O601" t="str">
        <f>IF($B601=0,"",SUMPRODUCT(_motor!$B$586:$B$665*(_motor!$E$586:$E$665&gt;$E601))+(SUMPRODUCT(_motor!$B$586:$B$665*(_motor!$E$586:$E$665=$E601))+1)/2)</f>
        <v/>
      </c>
      <c r="P601" t="str">
        <f>IF($B601=0,"",SUMPRODUCT(_motor!$B$586:$B$665*(_motor!$L$586:$L$665&gt;$L601))+(SUMPRODUCT(_motor!$B$586:$B$665*(_motor!$L$586:$L$665=$L601))+1)/2)</f>
        <v/>
      </c>
    </row>
    <row r="602" spans="1:16" x14ac:dyDescent="0.2">
      <c r="A602" t="str">
        <f>'02 · Variables'!$B$23</f>
        <v/>
      </c>
      <c r="B602">
        <f>IF('02 · Variables'!$C$23&lt;&gt;"",1,0)</f>
        <v>0</v>
      </c>
      <c r="C602">
        <f>SUM(_motor!$A$27:$CB$27)</f>
        <v>0</v>
      </c>
      <c r="D602">
        <f>SUM(_motor!Q$11:Q$90)</f>
        <v>0</v>
      </c>
      <c r="E602">
        <f>SUM(_motor!$A$273:$CB$273)</f>
        <v>0</v>
      </c>
      <c r="F602">
        <f>SUM(_motor!Q$257:Q$336)</f>
        <v>0</v>
      </c>
      <c r="G602">
        <f>SUM(_motor!$A$109:$CB$109)</f>
        <v>0</v>
      </c>
      <c r="H602">
        <f>SUM(_motor!Q$93:Q$172)</f>
        <v>0</v>
      </c>
      <c r="I602">
        <f>SUM(_motor!$A$519:$CB$519)</f>
        <v>0</v>
      </c>
      <c r="J602">
        <f>SUM(_motor!Q$503:Q$582)</f>
        <v>0</v>
      </c>
      <c r="K602">
        <f>SUM(_motor!$A$191:$CB$191)</f>
        <v>0</v>
      </c>
      <c r="L602">
        <f>SUM(_motor!$A$355:$CB$355)</f>
        <v>0</v>
      </c>
      <c r="M602" t="str">
        <f>IF($B602=0,"",SUMPRODUCT(_motor!$B$586:$B$665*(_motor!$C$586:$C$665&gt;$C602))+(SUMPRODUCT(_motor!$B$586:$B$665*(_motor!$C$586:$C$665=$C602))+1)/2)</f>
        <v/>
      </c>
      <c r="N602" t="str">
        <f>IF($B602=0,"",SUMPRODUCT(_motor!$B$586:$B$665*(_motor!$K$586:$K$665&gt;$K602))+(SUMPRODUCT(_motor!$B$586:$B$665*(_motor!$K$586:$K$665=$K602))+1)/2)</f>
        <v/>
      </c>
      <c r="O602" t="str">
        <f>IF($B602=0,"",SUMPRODUCT(_motor!$B$586:$B$665*(_motor!$E$586:$E$665&gt;$E602))+(SUMPRODUCT(_motor!$B$586:$B$665*(_motor!$E$586:$E$665=$E602))+1)/2)</f>
        <v/>
      </c>
      <c r="P602" t="str">
        <f>IF($B602=0,"",SUMPRODUCT(_motor!$B$586:$B$665*(_motor!$L$586:$L$665&gt;$L602))+(SUMPRODUCT(_motor!$B$586:$B$665*(_motor!$L$586:$L$665=$L602))+1)/2)</f>
        <v/>
      </c>
    </row>
    <row r="603" spans="1:16" x14ac:dyDescent="0.2">
      <c r="A603" t="str">
        <f>'02 · Variables'!$B$24</f>
        <v/>
      </c>
      <c r="B603">
        <f>IF('02 · Variables'!$C$24&lt;&gt;"",1,0)</f>
        <v>0</v>
      </c>
      <c r="C603">
        <f>SUM(_motor!$A$28:$CB$28)</f>
        <v>0</v>
      </c>
      <c r="D603">
        <f>SUM(_motor!R$11:R$90)</f>
        <v>0</v>
      </c>
      <c r="E603">
        <f>SUM(_motor!$A$274:$CB$274)</f>
        <v>0</v>
      </c>
      <c r="F603">
        <f>SUM(_motor!R$257:R$336)</f>
        <v>0</v>
      </c>
      <c r="G603">
        <f>SUM(_motor!$A$110:$CB$110)</f>
        <v>0</v>
      </c>
      <c r="H603">
        <f>SUM(_motor!R$93:R$172)</f>
        <v>0</v>
      </c>
      <c r="I603">
        <f>SUM(_motor!$A$520:$CB$520)</f>
        <v>0</v>
      </c>
      <c r="J603">
        <f>SUM(_motor!R$503:R$582)</f>
        <v>0</v>
      </c>
      <c r="K603">
        <f>SUM(_motor!$A$192:$CB$192)</f>
        <v>0</v>
      </c>
      <c r="L603">
        <f>SUM(_motor!$A$356:$CB$356)</f>
        <v>0</v>
      </c>
      <c r="M603" t="str">
        <f>IF($B603=0,"",SUMPRODUCT(_motor!$B$586:$B$665*(_motor!$C$586:$C$665&gt;$C603))+(SUMPRODUCT(_motor!$B$586:$B$665*(_motor!$C$586:$C$665=$C603))+1)/2)</f>
        <v/>
      </c>
      <c r="N603" t="str">
        <f>IF($B603=0,"",SUMPRODUCT(_motor!$B$586:$B$665*(_motor!$K$586:$K$665&gt;$K603))+(SUMPRODUCT(_motor!$B$586:$B$665*(_motor!$K$586:$K$665=$K603))+1)/2)</f>
        <v/>
      </c>
      <c r="O603" t="str">
        <f>IF($B603=0,"",SUMPRODUCT(_motor!$B$586:$B$665*(_motor!$E$586:$E$665&gt;$E603))+(SUMPRODUCT(_motor!$B$586:$B$665*(_motor!$E$586:$E$665=$E603))+1)/2)</f>
        <v/>
      </c>
      <c r="P603" t="str">
        <f>IF($B603=0,"",SUMPRODUCT(_motor!$B$586:$B$665*(_motor!$L$586:$L$665&gt;$L603))+(SUMPRODUCT(_motor!$B$586:$B$665*(_motor!$L$586:$L$665=$L603))+1)/2)</f>
        <v/>
      </c>
    </row>
    <row r="604" spans="1:16" x14ac:dyDescent="0.2">
      <c r="A604" t="str">
        <f>'02 · Variables'!$B$25</f>
        <v/>
      </c>
      <c r="B604">
        <f>IF('02 · Variables'!$C$25&lt;&gt;"",1,0)</f>
        <v>0</v>
      </c>
      <c r="C604">
        <f>SUM(_motor!$A$29:$CB$29)</f>
        <v>0</v>
      </c>
      <c r="D604">
        <f>SUM(_motor!S$11:S$90)</f>
        <v>0</v>
      </c>
      <c r="E604">
        <f>SUM(_motor!$A$275:$CB$275)</f>
        <v>0</v>
      </c>
      <c r="F604">
        <f>SUM(_motor!S$257:S$336)</f>
        <v>0</v>
      </c>
      <c r="G604">
        <f>SUM(_motor!$A$111:$CB$111)</f>
        <v>0</v>
      </c>
      <c r="H604">
        <f>SUM(_motor!S$93:S$172)</f>
        <v>0</v>
      </c>
      <c r="I604">
        <f>SUM(_motor!$A$521:$CB$521)</f>
        <v>0</v>
      </c>
      <c r="J604">
        <f>SUM(_motor!S$503:S$582)</f>
        <v>0</v>
      </c>
      <c r="K604">
        <f>SUM(_motor!$A$193:$CB$193)</f>
        <v>0</v>
      </c>
      <c r="L604">
        <f>SUM(_motor!$A$357:$CB$357)</f>
        <v>0</v>
      </c>
      <c r="M604" t="str">
        <f>IF($B604=0,"",SUMPRODUCT(_motor!$B$586:$B$665*(_motor!$C$586:$C$665&gt;$C604))+(SUMPRODUCT(_motor!$B$586:$B$665*(_motor!$C$586:$C$665=$C604))+1)/2)</f>
        <v/>
      </c>
      <c r="N604" t="str">
        <f>IF($B604=0,"",SUMPRODUCT(_motor!$B$586:$B$665*(_motor!$K$586:$K$665&gt;$K604))+(SUMPRODUCT(_motor!$B$586:$B$665*(_motor!$K$586:$K$665=$K604))+1)/2)</f>
        <v/>
      </c>
      <c r="O604" t="str">
        <f>IF($B604=0,"",SUMPRODUCT(_motor!$B$586:$B$665*(_motor!$E$586:$E$665&gt;$E604))+(SUMPRODUCT(_motor!$B$586:$B$665*(_motor!$E$586:$E$665=$E604))+1)/2)</f>
        <v/>
      </c>
      <c r="P604" t="str">
        <f>IF($B604=0,"",SUMPRODUCT(_motor!$B$586:$B$665*(_motor!$L$586:$L$665&gt;$L604))+(SUMPRODUCT(_motor!$B$586:$B$665*(_motor!$L$586:$L$665=$L604))+1)/2)</f>
        <v/>
      </c>
    </row>
    <row r="605" spans="1:16" x14ac:dyDescent="0.2">
      <c r="A605" t="str">
        <f>'02 · Variables'!$B$26</f>
        <v/>
      </c>
      <c r="B605">
        <f>IF('02 · Variables'!$C$26&lt;&gt;"",1,0)</f>
        <v>0</v>
      </c>
      <c r="C605">
        <f>SUM(_motor!$A$30:$CB$30)</f>
        <v>0</v>
      </c>
      <c r="D605">
        <f>SUM(_motor!T$11:T$90)</f>
        <v>0</v>
      </c>
      <c r="E605">
        <f>SUM(_motor!$A$276:$CB$276)</f>
        <v>0</v>
      </c>
      <c r="F605">
        <f>SUM(_motor!T$257:T$336)</f>
        <v>0</v>
      </c>
      <c r="G605">
        <f>SUM(_motor!$A$112:$CB$112)</f>
        <v>0</v>
      </c>
      <c r="H605">
        <f>SUM(_motor!T$93:T$172)</f>
        <v>0</v>
      </c>
      <c r="I605">
        <f>SUM(_motor!$A$522:$CB$522)</f>
        <v>0</v>
      </c>
      <c r="J605">
        <f>SUM(_motor!T$503:T$582)</f>
        <v>0</v>
      </c>
      <c r="K605">
        <f>SUM(_motor!$A$194:$CB$194)</f>
        <v>0</v>
      </c>
      <c r="L605">
        <f>SUM(_motor!$A$358:$CB$358)</f>
        <v>0</v>
      </c>
      <c r="M605" t="str">
        <f>IF($B605=0,"",SUMPRODUCT(_motor!$B$586:$B$665*(_motor!$C$586:$C$665&gt;$C605))+(SUMPRODUCT(_motor!$B$586:$B$665*(_motor!$C$586:$C$665=$C605))+1)/2)</f>
        <v/>
      </c>
      <c r="N605" t="str">
        <f>IF($B605=0,"",SUMPRODUCT(_motor!$B$586:$B$665*(_motor!$K$586:$K$665&gt;$K605))+(SUMPRODUCT(_motor!$B$586:$B$665*(_motor!$K$586:$K$665=$K605))+1)/2)</f>
        <v/>
      </c>
      <c r="O605" t="str">
        <f>IF($B605=0,"",SUMPRODUCT(_motor!$B$586:$B$665*(_motor!$E$586:$E$665&gt;$E605))+(SUMPRODUCT(_motor!$B$586:$B$665*(_motor!$E$586:$E$665=$E605))+1)/2)</f>
        <v/>
      </c>
      <c r="P605" t="str">
        <f>IF($B605=0,"",SUMPRODUCT(_motor!$B$586:$B$665*(_motor!$L$586:$L$665&gt;$L605))+(SUMPRODUCT(_motor!$B$586:$B$665*(_motor!$L$586:$L$665=$L605))+1)/2)</f>
        <v/>
      </c>
    </row>
    <row r="606" spans="1:16" x14ac:dyDescent="0.2">
      <c r="A606" t="str">
        <f>'02 · Variables'!$B$27</f>
        <v/>
      </c>
      <c r="B606">
        <f>IF('02 · Variables'!$C$27&lt;&gt;"",1,0)</f>
        <v>0</v>
      </c>
      <c r="C606">
        <f>SUM(_motor!$A$31:$CB$31)</f>
        <v>0</v>
      </c>
      <c r="D606">
        <f>SUM(_motor!U$11:U$90)</f>
        <v>0</v>
      </c>
      <c r="E606">
        <f>SUM(_motor!$A$277:$CB$277)</f>
        <v>0</v>
      </c>
      <c r="F606">
        <f>SUM(_motor!U$257:U$336)</f>
        <v>0</v>
      </c>
      <c r="G606">
        <f>SUM(_motor!$A$113:$CB$113)</f>
        <v>0</v>
      </c>
      <c r="H606">
        <f>SUM(_motor!U$93:U$172)</f>
        <v>0</v>
      </c>
      <c r="I606">
        <f>SUM(_motor!$A$523:$CB$523)</f>
        <v>0</v>
      </c>
      <c r="J606">
        <f>SUM(_motor!U$503:U$582)</f>
        <v>0</v>
      </c>
      <c r="K606">
        <f>SUM(_motor!$A$195:$CB$195)</f>
        <v>0</v>
      </c>
      <c r="L606">
        <f>SUM(_motor!$A$359:$CB$359)</f>
        <v>0</v>
      </c>
      <c r="M606" t="str">
        <f>IF($B606=0,"",SUMPRODUCT(_motor!$B$586:$B$665*(_motor!$C$586:$C$665&gt;$C606))+(SUMPRODUCT(_motor!$B$586:$B$665*(_motor!$C$586:$C$665=$C606))+1)/2)</f>
        <v/>
      </c>
      <c r="N606" t="str">
        <f>IF($B606=0,"",SUMPRODUCT(_motor!$B$586:$B$665*(_motor!$K$586:$K$665&gt;$K606))+(SUMPRODUCT(_motor!$B$586:$B$665*(_motor!$K$586:$K$665=$K606))+1)/2)</f>
        <v/>
      </c>
      <c r="O606" t="str">
        <f>IF($B606=0,"",SUMPRODUCT(_motor!$B$586:$B$665*(_motor!$E$586:$E$665&gt;$E606))+(SUMPRODUCT(_motor!$B$586:$B$665*(_motor!$E$586:$E$665=$E606))+1)/2)</f>
        <v/>
      </c>
      <c r="P606" t="str">
        <f>IF($B606=0,"",SUMPRODUCT(_motor!$B$586:$B$665*(_motor!$L$586:$L$665&gt;$L606))+(SUMPRODUCT(_motor!$B$586:$B$665*(_motor!$L$586:$L$665=$L606))+1)/2)</f>
        <v/>
      </c>
    </row>
    <row r="607" spans="1:16" x14ac:dyDescent="0.2">
      <c r="A607" t="str">
        <f>'02 · Variables'!$B$28</f>
        <v/>
      </c>
      <c r="B607">
        <f>IF('02 · Variables'!$C$28&lt;&gt;"",1,0)</f>
        <v>0</v>
      </c>
      <c r="C607">
        <f>SUM(_motor!$A$32:$CB$32)</f>
        <v>0</v>
      </c>
      <c r="D607">
        <f>SUM(_motor!V$11:V$90)</f>
        <v>0</v>
      </c>
      <c r="E607">
        <f>SUM(_motor!$A$278:$CB$278)</f>
        <v>0</v>
      </c>
      <c r="F607">
        <f>SUM(_motor!V$257:V$336)</f>
        <v>0</v>
      </c>
      <c r="G607">
        <f>SUM(_motor!$A$114:$CB$114)</f>
        <v>0</v>
      </c>
      <c r="H607">
        <f>SUM(_motor!V$93:V$172)</f>
        <v>0</v>
      </c>
      <c r="I607">
        <f>SUM(_motor!$A$524:$CB$524)</f>
        <v>0</v>
      </c>
      <c r="J607">
        <f>SUM(_motor!V$503:V$582)</f>
        <v>0</v>
      </c>
      <c r="K607">
        <f>SUM(_motor!$A$196:$CB$196)</f>
        <v>0</v>
      </c>
      <c r="L607">
        <f>SUM(_motor!$A$360:$CB$360)</f>
        <v>0</v>
      </c>
      <c r="M607" t="str">
        <f>IF($B607=0,"",SUMPRODUCT(_motor!$B$586:$B$665*(_motor!$C$586:$C$665&gt;$C607))+(SUMPRODUCT(_motor!$B$586:$B$665*(_motor!$C$586:$C$665=$C607))+1)/2)</f>
        <v/>
      </c>
      <c r="N607" t="str">
        <f>IF($B607=0,"",SUMPRODUCT(_motor!$B$586:$B$665*(_motor!$K$586:$K$665&gt;$K607))+(SUMPRODUCT(_motor!$B$586:$B$665*(_motor!$K$586:$K$665=$K607))+1)/2)</f>
        <v/>
      </c>
      <c r="O607" t="str">
        <f>IF($B607=0,"",SUMPRODUCT(_motor!$B$586:$B$665*(_motor!$E$586:$E$665&gt;$E607))+(SUMPRODUCT(_motor!$B$586:$B$665*(_motor!$E$586:$E$665=$E607))+1)/2)</f>
        <v/>
      </c>
      <c r="P607" t="str">
        <f>IF($B607=0,"",SUMPRODUCT(_motor!$B$586:$B$665*(_motor!$L$586:$L$665&gt;$L607))+(SUMPRODUCT(_motor!$B$586:$B$665*(_motor!$L$586:$L$665=$L607))+1)/2)</f>
        <v/>
      </c>
    </row>
    <row r="608" spans="1:16" x14ac:dyDescent="0.2">
      <c r="A608" t="str">
        <f>'02 · Variables'!$B$29</f>
        <v/>
      </c>
      <c r="B608">
        <f>IF('02 · Variables'!$C$29&lt;&gt;"",1,0)</f>
        <v>0</v>
      </c>
      <c r="C608">
        <f>SUM(_motor!$A$33:$CB$33)</f>
        <v>0</v>
      </c>
      <c r="D608">
        <f>SUM(_motor!W$11:W$90)</f>
        <v>0</v>
      </c>
      <c r="E608">
        <f>SUM(_motor!$A$279:$CB$279)</f>
        <v>0</v>
      </c>
      <c r="F608">
        <f>SUM(_motor!W$257:W$336)</f>
        <v>0</v>
      </c>
      <c r="G608">
        <f>SUM(_motor!$A$115:$CB$115)</f>
        <v>0</v>
      </c>
      <c r="H608">
        <f>SUM(_motor!W$93:W$172)</f>
        <v>0</v>
      </c>
      <c r="I608">
        <f>SUM(_motor!$A$525:$CB$525)</f>
        <v>0</v>
      </c>
      <c r="J608">
        <f>SUM(_motor!W$503:W$582)</f>
        <v>0</v>
      </c>
      <c r="K608">
        <f>SUM(_motor!$A$197:$CB$197)</f>
        <v>0</v>
      </c>
      <c r="L608">
        <f>SUM(_motor!$A$361:$CB$361)</f>
        <v>0</v>
      </c>
      <c r="M608" t="str">
        <f>IF($B608=0,"",SUMPRODUCT(_motor!$B$586:$B$665*(_motor!$C$586:$C$665&gt;$C608))+(SUMPRODUCT(_motor!$B$586:$B$665*(_motor!$C$586:$C$665=$C608))+1)/2)</f>
        <v/>
      </c>
      <c r="N608" t="str">
        <f>IF($B608=0,"",SUMPRODUCT(_motor!$B$586:$B$665*(_motor!$K$586:$K$665&gt;$K608))+(SUMPRODUCT(_motor!$B$586:$B$665*(_motor!$K$586:$K$665=$K608))+1)/2)</f>
        <v/>
      </c>
      <c r="O608" t="str">
        <f>IF($B608=0,"",SUMPRODUCT(_motor!$B$586:$B$665*(_motor!$E$586:$E$665&gt;$E608))+(SUMPRODUCT(_motor!$B$586:$B$665*(_motor!$E$586:$E$665=$E608))+1)/2)</f>
        <v/>
      </c>
      <c r="P608" t="str">
        <f>IF($B608=0,"",SUMPRODUCT(_motor!$B$586:$B$665*(_motor!$L$586:$L$665&gt;$L608))+(SUMPRODUCT(_motor!$B$586:$B$665*(_motor!$L$586:$L$665=$L608))+1)/2)</f>
        <v/>
      </c>
    </row>
    <row r="609" spans="1:16" x14ac:dyDescent="0.2">
      <c r="A609" t="str">
        <f>'02 · Variables'!$B$30</f>
        <v/>
      </c>
      <c r="B609">
        <f>IF('02 · Variables'!$C$30&lt;&gt;"",1,0)</f>
        <v>0</v>
      </c>
      <c r="C609">
        <f>SUM(_motor!$A$34:$CB$34)</f>
        <v>0</v>
      </c>
      <c r="D609">
        <f>SUM(_motor!X$11:X$90)</f>
        <v>0</v>
      </c>
      <c r="E609">
        <f>SUM(_motor!$A$280:$CB$280)</f>
        <v>0</v>
      </c>
      <c r="F609">
        <f>SUM(_motor!X$257:X$336)</f>
        <v>0</v>
      </c>
      <c r="G609">
        <f>SUM(_motor!$A$116:$CB$116)</f>
        <v>0</v>
      </c>
      <c r="H609">
        <f>SUM(_motor!X$93:X$172)</f>
        <v>0</v>
      </c>
      <c r="I609">
        <f>SUM(_motor!$A$526:$CB$526)</f>
        <v>0</v>
      </c>
      <c r="J609">
        <f>SUM(_motor!X$503:X$582)</f>
        <v>0</v>
      </c>
      <c r="K609">
        <f>SUM(_motor!$A$198:$CB$198)</f>
        <v>0</v>
      </c>
      <c r="L609">
        <f>SUM(_motor!$A$362:$CB$362)</f>
        <v>0</v>
      </c>
      <c r="M609" t="str">
        <f>IF($B609=0,"",SUMPRODUCT(_motor!$B$586:$B$665*(_motor!$C$586:$C$665&gt;$C609))+(SUMPRODUCT(_motor!$B$586:$B$665*(_motor!$C$586:$C$665=$C609))+1)/2)</f>
        <v/>
      </c>
      <c r="N609" t="str">
        <f>IF($B609=0,"",SUMPRODUCT(_motor!$B$586:$B$665*(_motor!$K$586:$K$665&gt;$K609))+(SUMPRODUCT(_motor!$B$586:$B$665*(_motor!$K$586:$K$665=$K609))+1)/2)</f>
        <v/>
      </c>
      <c r="O609" t="str">
        <f>IF($B609=0,"",SUMPRODUCT(_motor!$B$586:$B$665*(_motor!$E$586:$E$665&gt;$E609))+(SUMPRODUCT(_motor!$B$586:$B$665*(_motor!$E$586:$E$665=$E609))+1)/2)</f>
        <v/>
      </c>
      <c r="P609" t="str">
        <f>IF($B609=0,"",SUMPRODUCT(_motor!$B$586:$B$665*(_motor!$L$586:$L$665&gt;$L609))+(SUMPRODUCT(_motor!$B$586:$B$665*(_motor!$L$586:$L$665=$L609))+1)/2)</f>
        <v/>
      </c>
    </row>
    <row r="610" spans="1:16" x14ac:dyDescent="0.2">
      <c r="A610" t="str">
        <f>'02 · Variables'!$B$31</f>
        <v/>
      </c>
      <c r="B610">
        <f>IF('02 · Variables'!$C$31&lt;&gt;"",1,0)</f>
        <v>0</v>
      </c>
      <c r="C610">
        <f>SUM(_motor!$A$35:$CB$35)</f>
        <v>0</v>
      </c>
      <c r="D610">
        <f>SUM(_motor!Y$11:Y$90)</f>
        <v>0</v>
      </c>
      <c r="E610">
        <f>SUM(_motor!$A$281:$CB$281)</f>
        <v>0</v>
      </c>
      <c r="F610">
        <f>SUM(_motor!Y$257:Y$336)</f>
        <v>0</v>
      </c>
      <c r="G610">
        <f>SUM(_motor!$A$117:$CB$117)</f>
        <v>0</v>
      </c>
      <c r="H610">
        <f>SUM(_motor!Y$93:Y$172)</f>
        <v>0</v>
      </c>
      <c r="I610">
        <f>SUM(_motor!$A$527:$CB$527)</f>
        <v>0</v>
      </c>
      <c r="J610">
        <f>SUM(_motor!Y$503:Y$582)</f>
        <v>0</v>
      </c>
      <c r="K610">
        <f>SUM(_motor!$A$199:$CB$199)</f>
        <v>0</v>
      </c>
      <c r="L610">
        <f>SUM(_motor!$A$363:$CB$363)</f>
        <v>0</v>
      </c>
      <c r="M610" t="str">
        <f>IF($B610=0,"",SUMPRODUCT(_motor!$B$586:$B$665*(_motor!$C$586:$C$665&gt;$C610))+(SUMPRODUCT(_motor!$B$586:$B$665*(_motor!$C$586:$C$665=$C610))+1)/2)</f>
        <v/>
      </c>
      <c r="N610" t="str">
        <f>IF($B610=0,"",SUMPRODUCT(_motor!$B$586:$B$665*(_motor!$K$586:$K$665&gt;$K610))+(SUMPRODUCT(_motor!$B$586:$B$665*(_motor!$K$586:$K$665=$K610))+1)/2)</f>
        <v/>
      </c>
      <c r="O610" t="str">
        <f>IF($B610=0,"",SUMPRODUCT(_motor!$B$586:$B$665*(_motor!$E$586:$E$665&gt;$E610))+(SUMPRODUCT(_motor!$B$586:$B$665*(_motor!$E$586:$E$665=$E610))+1)/2)</f>
        <v/>
      </c>
      <c r="P610" t="str">
        <f>IF($B610=0,"",SUMPRODUCT(_motor!$B$586:$B$665*(_motor!$L$586:$L$665&gt;$L610))+(SUMPRODUCT(_motor!$B$586:$B$665*(_motor!$L$586:$L$665=$L610))+1)/2)</f>
        <v/>
      </c>
    </row>
    <row r="611" spans="1:16" x14ac:dyDescent="0.2">
      <c r="A611">
        <f>'02 · Variables'!$B$32</f>
        <v>0</v>
      </c>
      <c r="B611">
        <f>IF('02 · Variables'!$C$32&lt;&gt;"",1,0)</f>
        <v>0</v>
      </c>
      <c r="C611">
        <f>SUM(_motor!$A$36:$CB$36)</f>
        <v>0</v>
      </c>
      <c r="D611">
        <f>SUM(_motor!Z$11:Z$90)</f>
        <v>0</v>
      </c>
      <c r="E611">
        <f>SUM(_motor!$A$282:$CB$282)</f>
        <v>0</v>
      </c>
      <c r="F611">
        <f>SUM(_motor!Z$257:Z$336)</f>
        <v>0</v>
      </c>
      <c r="G611">
        <f>SUM(_motor!$A$118:$CB$118)</f>
        <v>0</v>
      </c>
      <c r="H611">
        <f>SUM(_motor!Z$93:Z$172)</f>
        <v>0</v>
      </c>
      <c r="I611">
        <f>SUM(_motor!$A$528:$CB$528)</f>
        <v>0</v>
      </c>
      <c r="J611">
        <f>SUM(_motor!Z$503:Z$582)</f>
        <v>0</v>
      </c>
      <c r="K611">
        <f>SUM(_motor!$A$200:$CB$200)</f>
        <v>0</v>
      </c>
      <c r="L611">
        <f>SUM(_motor!$A$364:$CB$364)</f>
        <v>0</v>
      </c>
      <c r="M611" t="str">
        <f>IF($B611=0,"",SUMPRODUCT(_motor!$B$586:$B$665*(_motor!$C$586:$C$665&gt;$C611))+(SUMPRODUCT(_motor!$B$586:$B$665*(_motor!$C$586:$C$665=$C611))+1)/2)</f>
        <v/>
      </c>
      <c r="N611" t="str">
        <f>IF($B611=0,"",SUMPRODUCT(_motor!$B$586:$B$665*(_motor!$K$586:$K$665&gt;$K611))+(SUMPRODUCT(_motor!$B$586:$B$665*(_motor!$K$586:$K$665=$K611))+1)/2)</f>
        <v/>
      </c>
      <c r="O611" t="str">
        <f>IF($B611=0,"",SUMPRODUCT(_motor!$B$586:$B$665*(_motor!$E$586:$E$665&gt;$E611))+(SUMPRODUCT(_motor!$B$586:$B$665*(_motor!$E$586:$E$665=$E611))+1)/2)</f>
        <v/>
      </c>
      <c r="P611" t="str">
        <f>IF($B611=0,"",SUMPRODUCT(_motor!$B$586:$B$665*(_motor!$L$586:$L$665&gt;$L611))+(SUMPRODUCT(_motor!$B$586:$B$665*(_motor!$L$586:$L$665=$L611))+1)/2)</f>
        <v/>
      </c>
    </row>
    <row r="612" spans="1:16" x14ac:dyDescent="0.2">
      <c r="A612">
        <f>'02 · Variables'!$B$33</f>
        <v>0</v>
      </c>
      <c r="B612">
        <f>IF('02 · Variables'!$C$33&lt;&gt;"",1,0)</f>
        <v>0</v>
      </c>
      <c r="C612">
        <f>SUM(_motor!$A$37:$CB$37)</f>
        <v>0</v>
      </c>
      <c r="D612">
        <f>SUM(_motor!AA$11:AA$90)</f>
        <v>0</v>
      </c>
      <c r="E612">
        <f>SUM(_motor!$A$283:$CB$283)</f>
        <v>0</v>
      </c>
      <c r="F612">
        <f>SUM(_motor!AA$257:AA$336)</f>
        <v>0</v>
      </c>
      <c r="G612">
        <f>SUM(_motor!$A$119:$CB$119)</f>
        <v>0</v>
      </c>
      <c r="H612">
        <f>SUM(_motor!AA$93:AA$172)</f>
        <v>0</v>
      </c>
      <c r="I612">
        <f>SUM(_motor!$A$529:$CB$529)</f>
        <v>0</v>
      </c>
      <c r="J612">
        <f>SUM(_motor!AA$503:AA$582)</f>
        <v>0</v>
      </c>
      <c r="K612">
        <f>SUM(_motor!$A$201:$CB$201)</f>
        <v>0</v>
      </c>
      <c r="L612">
        <f>SUM(_motor!$A$365:$CB$365)</f>
        <v>0</v>
      </c>
      <c r="M612" t="str">
        <f>IF($B612=0,"",SUMPRODUCT(_motor!$B$586:$B$665*(_motor!$C$586:$C$665&gt;$C612))+(SUMPRODUCT(_motor!$B$586:$B$665*(_motor!$C$586:$C$665=$C612))+1)/2)</f>
        <v/>
      </c>
      <c r="N612" t="str">
        <f>IF($B612=0,"",SUMPRODUCT(_motor!$B$586:$B$665*(_motor!$K$586:$K$665&gt;$K612))+(SUMPRODUCT(_motor!$B$586:$B$665*(_motor!$K$586:$K$665=$K612))+1)/2)</f>
        <v/>
      </c>
      <c r="O612" t="str">
        <f>IF($B612=0,"",SUMPRODUCT(_motor!$B$586:$B$665*(_motor!$E$586:$E$665&gt;$E612))+(SUMPRODUCT(_motor!$B$586:$B$665*(_motor!$E$586:$E$665=$E612))+1)/2)</f>
        <v/>
      </c>
      <c r="P612" t="str">
        <f>IF($B612=0,"",SUMPRODUCT(_motor!$B$586:$B$665*(_motor!$L$586:$L$665&gt;$L612))+(SUMPRODUCT(_motor!$B$586:$B$665*(_motor!$L$586:$L$665=$L612))+1)/2)</f>
        <v/>
      </c>
    </row>
    <row r="613" spans="1:16" x14ac:dyDescent="0.2">
      <c r="A613">
        <f>'02 · Variables'!$B$34</f>
        <v>0</v>
      </c>
      <c r="B613">
        <f>IF('02 · Variables'!$C$34&lt;&gt;"",1,0)</f>
        <v>0</v>
      </c>
      <c r="C613">
        <f>SUM(_motor!$A$38:$CB$38)</f>
        <v>0</v>
      </c>
      <c r="D613">
        <f>SUM(_motor!AB$11:AB$90)</f>
        <v>0</v>
      </c>
      <c r="E613">
        <f>SUM(_motor!$A$284:$CB$284)</f>
        <v>0</v>
      </c>
      <c r="F613">
        <f>SUM(_motor!AB$257:AB$336)</f>
        <v>0</v>
      </c>
      <c r="G613">
        <f>SUM(_motor!$A$120:$CB$120)</f>
        <v>0</v>
      </c>
      <c r="H613">
        <f>SUM(_motor!AB$93:AB$172)</f>
        <v>0</v>
      </c>
      <c r="I613">
        <f>SUM(_motor!$A$530:$CB$530)</f>
        <v>0</v>
      </c>
      <c r="J613">
        <f>SUM(_motor!AB$503:AB$582)</f>
        <v>0</v>
      </c>
      <c r="K613">
        <f>SUM(_motor!$A$202:$CB$202)</f>
        <v>0</v>
      </c>
      <c r="L613">
        <f>SUM(_motor!$A$366:$CB$366)</f>
        <v>0</v>
      </c>
      <c r="M613" t="str">
        <f>IF($B613=0,"",SUMPRODUCT(_motor!$B$586:$B$665*(_motor!$C$586:$C$665&gt;$C613))+(SUMPRODUCT(_motor!$B$586:$B$665*(_motor!$C$586:$C$665=$C613))+1)/2)</f>
        <v/>
      </c>
      <c r="N613" t="str">
        <f>IF($B613=0,"",SUMPRODUCT(_motor!$B$586:$B$665*(_motor!$K$586:$K$665&gt;$K613))+(SUMPRODUCT(_motor!$B$586:$B$665*(_motor!$K$586:$K$665=$K613))+1)/2)</f>
        <v/>
      </c>
      <c r="O613" t="str">
        <f>IF($B613=0,"",SUMPRODUCT(_motor!$B$586:$B$665*(_motor!$E$586:$E$665&gt;$E613))+(SUMPRODUCT(_motor!$B$586:$B$665*(_motor!$E$586:$E$665=$E613))+1)/2)</f>
        <v/>
      </c>
      <c r="P613" t="str">
        <f>IF($B613=0,"",SUMPRODUCT(_motor!$B$586:$B$665*(_motor!$L$586:$L$665&gt;$L613))+(SUMPRODUCT(_motor!$B$586:$B$665*(_motor!$L$586:$L$665=$L613))+1)/2)</f>
        <v/>
      </c>
    </row>
    <row r="614" spans="1:16" x14ac:dyDescent="0.2">
      <c r="A614">
        <f>'02 · Variables'!$B$35</f>
        <v>0</v>
      </c>
      <c r="B614">
        <f>IF('02 · Variables'!$C$35&lt;&gt;"",1,0)</f>
        <v>0</v>
      </c>
      <c r="C614">
        <f>SUM(_motor!$A$39:$CB$39)</f>
        <v>0</v>
      </c>
      <c r="D614">
        <f>SUM(_motor!AC$11:AC$90)</f>
        <v>0</v>
      </c>
      <c r="E614">
        <f>SUM(_motor!$A$285:$CB$285)</f>
        <v>0</v>
      </c>
      <c r="F614">
        <f>SUM(_motor!AC$257:AC$336)</f>
        <v>0</v>
      </c>
      <c r="G614">
        <f>SUM(_motor!$A$121:$CB$121)</f>
        <v>0</v>
      </c>
      <c r="H614">
        <f>SUM(_motor!AC$93:AC$172)</f>
        <v>0</v>
      </c>
      <c r="I614">
        <f>SUM(_motor!$A$531:$CB$531)</f>
        <v>0</v>
      </c>
      <c r="J614">
        <f>SUM(_motor!AC$503:AC$582)</f>
        <v>0</v>
      </c>
      <c r="K614">
        <f>SUM(_motor!$A$203:$CB$203)</f>
        <v>0</v>
      </c>
      <c r="L614">
        <f>SUM(_motor!$A$367:$CB$367)</f>
        <v>0</v>
      </c>
      <c r="M614" t="str">
        <f>IF($B614=0,"",SUMPRODUCT(_motor!$B$586:$B$665*(_motor!$C$586:$C$665&gt;$C614))+(SUMPRODUCT(_motor!$B$586:$B$665*(_motor!$C$586:$C$665=$C614))+1)/2)</f>
        <v/>
      </c>
      <c r="N614" t="str">
        <f>IF($B614=0,"",SUMPRODUCT(_motor!$B$586:$B$665*(_motor!$K$586:$K$665&gt;$K614))+(SUMPRODUCT(_motor!$B$586:$B$665*(_motor!$K$586:$K$665=$K614))+1)/2)</f>
        <v/>
      </c>
      <c r="O614" t="str">
        <f>IF($B614=0,"",SUMPRODUCT(_motor!$B$586:$B$665*(_motor!$E$586:$E$665&gt;$E614))+(SUMPRODUCT(_motor!$B$586:$B$665*(_motor!$E$586:$E$665=$E614))+1)/2)</f>
        <v/>
      </c>
      <c r="P614" t="str">
        <f>IF($B614=0,"",SUMPRODUCT(_motor!$B$586:$B$665*(_motor!$L$586:$L$665&gt;$L614))+(SUMPRODUCT(_motor!$B$586:$B$665*(_motor!$L$586:$L$665=$L614))+1)/2)</f>
        <v/>
      </c>
    </row>
    <row r="615" spans="1:16" x14ac:dyDescent="0.2">
      <c r="A615">
        <f>'02 · Variables'!$B$36</f>
        <v>0</v>
      </c>
      <c r="B615">
        <f>IF('02 · Variables'!$C$36&lt;&gt;"",1,0)</f>
        <v>0</v>
      </c>
      <c r="C615">
        <f>SUM(_motor!$A$40:$CB$40)</f>
        <v>0</v>
      </c>
      <c r="D615">
        <f>SUM(_motor!AD$11:AD$90)</f>
        <v>0</v>
      </c>
      <c r="E615">
        <f>SUM(_motor!$A$286:$CB$286)</f>
        <v>0</v>
      </c>
      <c r="F615">
        <f>SUM(_motor!AD$257:AD$336)</f>
        <v>0</v>
      </c>
      <c r="G615">
        <f>SUM(_motor!$A$122:$CB$122)</f>
        <v>0</v>
      </c>
      <c r="H615">
        <f>SUM(_motor!AD$93:AD$172)</f>
        <v>0</v>
      </c>
      <c r="I615">
        <f>SUM(_motor!$A$532:$CB$532)</f>
        <v>0</v>
      </c>
      <c r="J615">
        <f>SUM(_motor!AD$503:AD$582)</f>
        <v>0</v>
      </c>
      <c r="K615">
        <f>SUM(_motor!$A$204:$CB$204)</f>
        <v>0</v>
      </c>
      <c r="L615">
        <f>SUM(_motor!$A$368:$CB$368)</f>
        <v>0</v>
      </c>
      <c r="M615" t="str">
        <f>IF($B615=0,"",SUMPRODUCT(_motor!$B$586:$B$665*(_motor!$C$586:$C$665&gt;$C615))+(SUMPRODUCT(_motor!$B$586:$B$665*(_motor!$C$586:$C$665=$C615))+1)/2)</f>
        <v/>
      </c>
      <c r="N615" t="str">
        <f>IF($B615=0,"",SUMPRODUCT(_motor!$B$586:$B$665*(_motor!$K$586:$K$665&gt;$K615))+(SUMPRODUCT(_motor!$B$586:$B$665*(_motor!$K$586:$K$665=$K615))+1)/2)</f>
        <v/>
      </c>
      <c r="O615" t="str">
        <f>IF($B615=0,"",SUMPRODUCT(_motor!$B$586:$B$665*(_motor!$E$586:$E$665&gt;$E615))+(SUMPRODUCT(_motor!$B$586:$B$665*(_motor!$E$586:$E$665=$E615))+1)/2)</f>
        <v/>
      </c>
      <c r="P615" t="str">
        <f>IF($B615=0,"",SUMPRODUCT(_motor!$B$586:$B$665*(_motor!$L$586:$L$665&gt;$L615))+(SUMPRODUCT(_motor!$B$586:$B$665*(_motor!$L$586:$L$665=$L615))+1)/2)</f>
        <v/>
      </c>
    </row>
    <row r="616" spans="1:16" x14ac:dyDescent="0.2">
      <c r="A616">
        <f>'02 · Variables'!$B$37</f>
        <v>0</v>
      </c>
      <c r="B616">
        <f>IF('02 · Variables'!$C$37&lt;&gt;"",1,0)</f>
        <v>0</v>
      </c>
      <c r="C616">
        <f>SUM(_motor!$A$41:$CB$41)</f>
        <v>0</v>
      </c>
      <c r="D616">
        <f>SUM(_motor!AE$11:AE$90)</f>
        <v>0</v>
      </c>
      <c r="E616">
        <f>SUM(_motor!$A$287:$CB$287)</f>
        <v>0</v>
      </c>
      <c r="F616">
        <f>SUM(_motor!AE$257:AE$336)</f>
        <v>0</v>
      </c>
      <c r="G616">
        <f>SUM(_motor!$A$123:$CB$123)</f>
        <v>0</v>
      </c>
      <c r="H616">
        <f>SUM(_motor!AE$93:AE$172)</f>
        <v>0</v>
      </c>
      <c r="I616">
        <f>SUM(_motor!$A$533:$CB$533)</f>
        <v>0</v>
      </c>
      <c r="J616">
        <f>SUM(_motor!AE$503:AE$582)</f>
        <v>0</v>
      </c>
      <c r="K616">
        <f>SUM(_motor!$A$205:$CB$205)</f>
        <v>0</v>
      </c>
      <c r="L616">
        <f>SUM(_motor!$A$369:$CB$369)</f>
        <v>0</v>
      </c>
      <c r="M616" t="str">
        <f>IF($B616=0,"",SUMPRODUCT(_motor!$B$586:$B$665*(_motor!$C$586:$C$665&gt;$C616))+(SUMPRODUCT(_motor!$B$586:$B$665*(_motor!$C$586:$C$665=$C616))+1)/2)</f>
        <v/>
      </c>
      <c r="N616" t="str">
        <f>IF($B616=0,"",SUMPRODUCT(_motor!$B$586:$B$665*(_motor!$K$586:$K$665&gt;$K616))+(SUMPRODUCT(_motor!$B$586:$B$665*(_motor!$K$586:$K$665=$K616))+1)/2)</f>
        <v/>
      </c>
      <c r="O616" t="str">
        <f>IF($B616=0,"",SUMPRODUCT(_motor!$B$586:$B$665*(_motor!$E$586:$E$665&gt;$E616))+(SUMPRODUCT(_motor!$B$586:$B$665*(_motor!$E$586:$E$665=$E616))+1)/2)</f>
        <v/>
      </c>
      <c r="P616" t="str">
        <f>IF($B616=0,"",SUMPRODUCT(_motor!$B$586:$B$665*(_motor!$L$586:$L$665&gt;$L616))+(SUMPRODUCT(_motor!$B$586:$B$665*(_motor!$L$586:$L$665=$L616))+1)/2)</f>
        <v/>
      </c>
    </row>
    <row r="617" spans="1:16" x14ac:dyDescent="0.2">
      <c r="A617">
        <f>'02 · Variables'!$B$38</f>
        <v>0</v>
      </c>
      <c r="B617">
        <f>IF('02 · Variables'!$C$38&lt;&gt;"",1,0)</f>
        <v>0</v>
      </c>
      <c r="C617">
        <f>SUM(_motor!$A$42:$CB$42)</f>
        <v>0</v>
      </c>
      <c r="D617">
        <f>SUM(_motor!AF$11:AF$90)</f>
        <v>0</v>
      </c>
      <c r="E617">
        <f>SUM(_motor!$A$288:$CB$288)</f>
        <v>0</v>
      </c>
      <c r="F617">
        <f>SUM(_motor!AF$257:AF$336)</f>
        <v>0</v>
      </c>
      <c r="G617">
        <f>SUM(_motor!$A$124:$CB$124)</f>
        <v>0</v>
      </c>
      <c r="H617">
        <f>SUM(_motor!AF$93:AF$172)</f>
        <v>0</v>
      </c>
      <c r="I617">
        <f>SUM(_motor!$A$534:$CB$534)</f>
        <v>0</v>
      </c>
      <c r="J617">
        <f>SUM(_motor!AF$503:AF$582)</f>
        <v>0</v>
      </c>
      <c r="K617">
        <f>SUM(_motor!$A$206:$CB$206)</f>
        <v>0</v>
      </c>
      <c r="L617">
        <f>SUM(_motor!$A$370:$CB$370)</f>
        <v>0</v>
      </c>
      <c r="M617" t="str">
        <f>IF($B617=0,"",SUMPRODUCT(_motor!$B$586:$B$665*(_motor!$C$586:$C$665&gt;$C617))+(SUMPRODUCT(_motor!$B$586:$B$665*(_motor!$C$586:$C$665=$C617))+1)/2)</f>
        <v/>
      </c>
      <c r="N617" t="str">
        <f>IF($B617=0,"",SUMPRODUCT(_motor!$B$586:$B$665*(_motor!$K$586:$K$665&gt;$K617))+(SUMPRODUCT(_motor!$B$586:$B$665*(_motor!$K$586:$K$665=$K617))+1)/2)</f>
        <v/>
      </c>
      <c r="O617" t="str">
        <f>IF($B617=0,"",SUMPRODUCT(_motor!$B$586:$B$665*(_motor!$E$586:$E$665&gt;$E617))+(SUMPRODUCT(_motor!$B$586:$B$665*(_motor!$E$586:$E$665=$E617))+1)/2)</f>
        <v/>
      </c>
      <c r="P617" t="str">
        <f>IF($B617=0,"",SUMPRODUCT(_motor!$B$586:$B$665*(_motor!$L$586:$L$665&gt;$L617))+(SUMPRODUCT(_motor!$B$586:$B$665*(_motor!$L$586:$L$665=$L617))+1)/2)</f>
        <v/>
      </c>
    </row>
    <row r="618" spans="1:16" x14ac:dyDescent="0.2">
      <c r="A618">
        <f>'02 · Variables'!$B$39</f>
        <v>0</v>
      </c>
      <c r="B618">
        <f>IF('02 · Variables'!$C$39&lt;&gt;"",1,0)</f>
        <v>0</v>
      </c>
      <c r="C618">
        <f>SUM(_motor!$A$43:$CB$43)</f>
        <v>0</v>
      </c>
      <c r="D618">
        <f>SUM(_motor!AG$11:AG$90)</f>
        <v>0</v>
      </c>
      <c r="E618">
        <f>SUM(_motor!$A$289:$CB$289)</f>
        <v>0</v>
      </c>
      <c r="F618">
        <f>SUM(_motor!AG$257:AG$336)</f>
        <v>0</v>
      </c>
      <c r="G618">
        <f>SUM(_motor!$A$125:$CB$125)</f>
        <v>0</v>
      </c>
      <c r="H618">
        <f>SUM(_motor!AG$93:AG$172)</f>
        <v>0</v>
      </c>
      <c r="I618">
        <f>SUM(_motor!$A$535:$CB$535)</f>
        <v>0</v>
      </c>
      <c r="J618">
        <f>SUM(_motor!AG$503:AG$582)</f>
        <v>0</v>
      </c>
      <c r="K618">
        <f>SUM(_motor!$A$207:$CB$207)</f>
        <v>0</v>
      </c>
      <c r="L618">
        <f>SUM(_motor!$A$371:$CB$371)</f>
        <v>0</v>
      </c>
      <c r="M618" t="str">
        <f>IF($B618=0,"",SUMPRODUCT(_motor!$B$586:$B$665*(_motor!$C$586:$C$665&gt;$C618))+(SUMPRODUCT(_motor!$B$586:$B$665*(_motor!$C$586:$C$665=$C618))+1)/2)</f>
        <v/>
      </c>
      <c r="N618" t="str">
        <f>IF($B618=0,"",SUMPRODUCT(_motor!$B$586:$B$665*(_motor!$K$586:$K$665&gt;$K618))+(SUMPRODUCT(_motor!$B$586:$B$665*(_motor!$K$586:$K$665=$K618))+1)/2)</f>
        <v/>
      </c>
      <c r="O618" t="str">
        <f>IF($B618=0,"",SUMPRODUCT(_motor!$B$586:$B$665*(_motor!$E$586:$E$665&gt;$E618))+(SUMPRODUCT(_motor!$B$586:$B$665*(_motor!$E$586:$E$665=$E618))+1)/2)</f>
        <v/>
      </c>
      <c r="P618" t="str">
        <f>IF($B618=0,"",SUMPRODUCT(_motor!$B$586:$B$665*(_motor!$L$586:$L$665&gt;$L618))+(SUMPRODUCT(_motor!$B$586:$B$665*(_motor!$L$586:$L$665=$L618))+1)/2)</f>
        <v/>
      </c>
    </row>
    <row r="619" spans="1:16" x14ac:dyDescent="0.2">
      <c r="A619">
        <f>'02 · Variables'!$B$40</f>
        <v>0</v>
      </c>
      <c r="B619">
        <f>IF('02 · Variables'!$C$40&lt;&gt;"",1,0)</f>
        <v>0</v>
      </c>
      <c r="C619">
        <f>SUM(_motor!$A$44:$CB$44)</f>
        <v>0</v>
      </c>
      <c r="D619">
        <f>SUM(_motor!AH$11:AH$90)</f>
        <v>0</v>
      </c>
      <c r="E619">
        <f>SUM(_motor!$A$290:$CB$290)</f>
        <v>0</v>
      </c>
      <c r="F619">
        <f>SUM(_motor!AH$257:AH$336)</f>
        <v>0</v>
      </c>
      <c r="G619">
        <f>SUM(_motor!$A$126:$CB$126)</f>
        <v>0</v>
      </c>
      <c r="H619">
        <f>SUM(_motor!AH$93:AH$172)</f>
        <v>0</v>
      </c>
      <c r="I619">
        <f>SUM(_motor!$A$536:$CB$536)</f>
        <v>0</v>
      </c>
      <c r="J619">
        <f>SUM(_motor!AH$503:AH$582)</f>
        <v>0</v>
      </c>
      <c r="K619">
        <f>SUM(_motor!$A$208:$CB$208)</f>
        <v>0</v>
      </c>
      <c r="L619">
        <f>SUM(_motor!$A$372:$CB$372)</f>
        <v>0</v>
      </c>
      <c r="M619" t="str">
        <f>IF($B619=0,"",SUMPRODUCT(_motor!$B$586:$B$665*(_motor!$C$586:$C$665&gt;$C619))+(SUMPRODUCT(_motor!$B$586:$B$665*(_motor!$C$586:$C$665=$C619))+1)/2)</f>
        <v/>
      </c>
      <c r="N619" t="str">
        <f>IF($B619=0,"",SUMPRODUCT(_motor!$B$586:$B$665*(_motor!$K$586:$K$665&gt;$K619))+(SUMPRODUCT(_motor!$B$586:$B$665*(_motor!$K$586:$K$665=$K619))+1)/2)</f>
        <v/>
      </c>
      <c r="O619" t="str">
        <f>IF($B619=0,"",SUMPRODUCT(_motor!$B$586:$B$665*(_motor!$E$586:$E$665&gt;$E619))+(SUMPRODUCT(_motor!$B$586:$B$665*(_motor!$E$586:$E$665=$E619))+1)/2)</f>
        <v/>
      </c>
      <c r="P619" t="str">
        <f>IF($B619=0,"",SUMPRODUCT(_motor!$B$586:$B$665*(_motor!$L$586:$L$665&gt;$L619))+(SUMPRODUCT(_motor!$B$586:$B$665*(_motor!$L$586:$L$665=$L619))+1)/2)</f>
        <v/>
      </c>
    </row>
    <row r="620" spans="1:16" x14ac:dyDescent="0.2">
      <c r="A620">
        <f>'02 · Variables'!$B$41</f>
        <v>0</v>
      </c>
      <c r="B620">
        <f>IF('02 · Variables'!$C$41&lt;&gt;"",1,0)</f>
        <v>0</v>
      </c>
      <c r="C620">
        <f>SUM(_motor!$A$45:$CB$45)</f>
        <v>0</v>
      </c>
      <c r="D620">
        <f>SUM(_motor!AI$11:AI$90)</f>
        <v>0</v>
      </c>
      <c r="E620">
        <f>SUM(_motor!$A$291:$CB$291)</f>
        <v>0</v>
      </c>
      <c r="F620">
        <f>SUM(_motor!AI$257:AI$336)</f>
        <v>0</v>
      </c>
      <c r="G620">
        <f>SUM(_motor!$A$127:$CB$127)</f>
        <v>0</v>
      </c>
      <c r="H620">
        <f>SUM(_motor!AI$93:AI$172)</f>
        <v>0</v>
      </c>
      <c r="I620">
        <f>SUM(_motor!$A$537:$CB$537)</f>
        <v>0</v>
      </c>
      <c r="J620">
        <f>SUM(_motor!AI$503:AI$582)</f>
        <v>0</v>
      </c>
      <c r="K620">
        <f>SUM(_motor!$A$209:$CB$209)</f>
        <v>0</v>
      </c>
      <c r="L620">
        <f>SUM(_motor!$A$373:$CB$373)</f>
        <v>0</v>
      </c>
      <c r="M620" t="str">
        <f>IF($B620=0,"",SUMPRODUCT(_motor!$B$586:$B$665*(_motor!$C$586:$C$665&gt;$C620))+(SUMPRODUCT(_motor!$B$586:$B$665*(_motor!$C$586:$C$665=$C620))+1)/2)</f>
        <v/>
      </c>
      <c r="N620" t="str">
        <f>IF($B620=0,"",SUMPRODUCT(_motor!$B$586:$B$665*(_motor!$K$586:$K$665&gt;$K620))+(SUMPRODUCT(_motor!$B$586:$B$665*(_motor!$K$586:$K$665=$K620))+1)/2)</f>
        <v/>
      </c>
      <c r="O620" t="str">
        <f>IF($B620=0,"",SUMPRODUCT(_motor!$B$586:$B$665*(_motor!$E$586:$E$665&gt;$E620))+(SUMPRODUCT(_motor!$B$586:$B$665*(_motor!$E$586:$E$665=$E620))+1)/2)</f>
        <v/>
      </c>
      <c r="P620" t="str">
        <f>IF($B620=0,"",SUMPRODUCT(_motor!$B$586:$B$665*(_motor!$L$586:$L$665&gt;$L620))+(SUMPRODUCT(_motor!$B$586:$B$665*(_motor!$L$586:$L$665=$L620))+1)/2)</f>
        <v/>
      </c>
    </row>
    <row r="621" spans="1:16" x14ac:dyDescent="0.2">
      <c r="A621">
        <f>'02 · Variables'!$B$42</f>
        <v>0</v>
      </c>
      <c r="B621">
        <f>IF('02 · Variables'!$C$42&lt;&gt;"",1,0)</f>
        <v>0</v>
      </c>
      <c r="C621">
        <f>SUM(_motor!$A$46:$CB$46)</f>
        <v>0</v>
      </c>
      <c r="D621">
        <f>SUM(_motor!AJ$11:AJ$90)</f>
        <v>0</v>
      </c>
      <c r="E621">
        <f>SUM(_motor!$A$292:$CB$292)</f>
        <v>0</v>
      </c>
      <c r="F621">
        <f>SUM(_motor!AJ$257:AJ$336)</f>
        <v>0</v>
      </c>
      <c r="G621">
        <f>SUM(_motor!$A$128:$CB$128)</f>
        <v>0</v>
      </c>
      <c r="H621">
        <f>SUM(_motor!AJ$93:AJ$172)</f>
        <v>0</v>
      </c>
      <c r="I621">
        <f>SUM(_motor!$A$538:$CB$538)</f>
        <v>0</v>
      </c>
      <c r="J621">
        <f>SUM(_motor!AJ$503:AJ$582)</f>
        <v>0</v>
      </c>
      <c r="K621">
        <f>SUM(_motor!$A$210:$CB$210)</f>
        <v>0</v>
      </c>
      <c r="L621">
        <f>SUM(_motor!$A$374:$CB$374)</f>
        <v>0</v>
      </c>
      <c r="M621" t="str">
        <f>IF($B621=0,"",SUMPRODUCT(_motor!$B$586:$B$665*(_motor!$C$586:$C$665&gt;$C621))+(SUMPRODUCT(_motor!$B$586:$B$665*(_motor!$C$586:$C$665=$C621))+1)/2)</f>
        <v/>
      </c>
      <c r="N621" t="str">
        <f>IF($B621=0,"",SUMPRODUCT(_motor!$B$586:$B$665*(_motor!$K$586:$K$665&gt;$K621))+(SUMPRODUCT(_motor!$B$586:$B$665*(_motor!$K$586:$K$665=$K621))+1)/2)</f>
        <v/>
      </c>
      <c r="O621" t="str">
        <f>IF($B621=0,"",SUMPRODUCT(_motor!$B$586:$B$665*(_motor!$E$586:$E$665&gt;$E621))+(SUMPRODUCT(_motor!$B$586:$B$665*(_motor!$E$586:$E$665=$E621))+1)/2)</f>
        <v/>
      </c>
      <c r="P621" t="str">
        <f>IF($B621=0,"",SUMPRODUCT(_motor!$B$586:$B$665*(_motor!$L$586:$L$665&gt;$L621))+(SUMPRODUCT(_motor!$B$586:$B$665*(_motor!$L$586:$L$665=$L621))+1)/2)</f>
        <v/>
      </c>
    </row>
    <row r="622" spans="1:16" x14ac:dyDescent="0.2">
      <c r="A622">
        <f>'02 · Variables'!$B$43</f>
        <v>0</v>
      </c>
      <c r="B622">
        <f>IF('02 · Variables'!$C$43&lt;&gt;"",1,0)</f>
        <v>0</v>
      </c>
      <c r="C622">
        <f>SUM(_motor!$A$47:$CB$47)</f>
        <v>0</v>
      </c>
      <c r="D622">
        <f>SUM(_motor!AK$11:AK$90)</f>
        <v>0</v>
      </c>
      <c r="E622">
        <f>SUM(_motor!$A$293:$CB$293)</f>
        <v>0</v>
      </c>
      <c r="F622">
        <f>SUM(_motor!AK$257:AK$336)</f>
        <v>0</v>
      </c>
      <c r="G622">
        <f>SUM(_motor!$A$129:$CB$129)</f>
        <v>0</v>
      </c>
      <c r="H622">
        <f>SUM(_motor!AK$93:AK$172)</f>
        <v>0</v>
      </c>
      <c r="I622">
        <f>SUM(_motor!$A$539:$CB$539)</f>
        <v>0</v>
      </c>
      <c r="J622">
        <f>SUM(_motor!AK$503:AK$582)</f>
        <v>0</v>
      </c>
      <c r="K622">
        <f>SUM(_motor!$A$211:$CB$211)</f>
        <v>0</v>
      </c>
      <c r="L622">
        <f>SUM(_motor!$A$375:$CB$375)</f>
        <v>0</v>
      </c>
      <c r="M622" t="str">
        <f>IF($B622=0,"",SUMPRODUCT(_motor!$B$586:$B$665*(_motor!$C$586:$C$665&gt;$C622))+(SUMPRODUCT(_motor!$B$586:$B$665*(_motor!$C$586:$C$665=$C622))+1)/2)</f>
        <v/>
      </c>
      <c r="N622" t="str">
        <f>IF($B622=0,"",SUMPRODUCT(_motor!$B$586:$B$665*(_motor!$K$586:$K$665&gt;$K622))+(SUMPRODUCT(_motor!$B$586:$B$665*(_motor!$K$586:$K$665=$K622))+1)/2)</f>
        <v/>
      </c>
      <c r="O622" t="str">
        <f>IF($B622=0,"",SUMPRODUCT(_motor!$B$586:$B$665*(_motor!$E$586:$E$665&gt;$E622))+(SUMPRODUCT(_motor!$B$586:$B$665*(_motor!$E$586:$E$665=$E622))+1)/2)</f>
        <v/>
      </c>
      <c r="P622" t="str">
        <f>IF($B622=0,"",SUMPRODUCT(_motor!$B$586:$B$665*(_motor!$L$586:$L$665&gt;$L622))+(SUMPRODUCT(_motor!$B$586:$B$665*(_motor!$L$586:$L$665=$L622))+1)/2)</f>
        <v/>
      </c>
    </row>
    <row r="623" spans="1:16" x14ac:dyDescent="0.2">
      <c r="A623">
        <f>'02 · Variables'!$B$44</f>
        <v>0</v>
      </c>
      <c r="B623">
        <f>IF('02 · Variables'!$C$44&lt;&gt;"",1,0)</f>
        <v>0</v>
      </c>
      <c r="C623">
        <f>SUM(_motor!$A$48:$CB$48)</f>
        <v>0</v>
      </c>
      <c r="D623">
        <f>SUM(_motor!AL$11:AL$90)</f>
        <v>0</v>
      </c>
      <c r="E623">
        <f>SUM(_motor!$A$294:$CB$294)</f>
        <v>0</v>
      </c>
      <c r="F623">
        <f>SUM(_motor!AL$257:AL$336)</f>
        <v>0</v>
      </c>
      <c r="G623">
        <f>SUM(_motor!$A$130:$CB$130)</f>
        <v>0</v>
      </c>
      <c r="H623">
        <f>SUM(_motor!AL$93:AL$172)</f>
        <v>0</v>
      </c>
      <c r="I623">
        <f>SUM(_motor!$A$540:$CB$540)</f>
        <v>0</v>
      </c>
      <c r="J623">
        <f>SUM(_motor!AL$503:AL$582)</f>
        <v>0</v>
      </c>
      <c r="K623">
        <f>SUM(_motor!$A$212:$CB$212)</f>
        <v>0</v>
      </c>
      <c r="L623">
        <f>SUM(_motor!$A$376:$CB$376)</f>
        <v>0</v>
      </c>
      <c r="M623" t="str">
        <f>IF($B623=0,"",SUMPRODUCT(_motor!$B$586:$B$665*(_motor!$C$586:$C$665&gt;$C623))+(SUMPRODUCT(_motor!$B$586:$B$665*(_motor!$C$586:$C$665=$C623))+1)/2)</f>
        <v/>
      </c>
      <c r="N623" t="str">
        <f>IF($B623=0,"",SUMPRODUCT(_motor!$B$586:$B$665*(_motor!$K$586:$K$665&gt;$K623))+(SUMPRODUCT(_motor!$B$586:$B$665*(_motor!$K$586:$K$665=$K623))+1)/2)</f>
        <v/>
      </c>
      <c r="O623" t="str">
        <f>IF($B623=0,"",SUMPRODUCT(_motor!$B$586:$B$665*(_motor!$E$586:$E$665&gt;$E623))+(SUMPRODUCT(_motor!$B$586:$B$665*(_motor!$E$586:$E$665=$E623))+1)/2)</f>
        <v/>
      </c>
      <c r="P623" t="str">
        <f>IF($B623=0,"",SUMPRODUCT(_motor!$B$586:$B$665*(_motor!$L$586:$L$665&gt;$L623))+(SUMPRODUCT(_motor!$B$586:$B$665*(_motor!$L$586:$L$665=$L623))+1)/2)</f>
        <v/>
      </c>
    </row>
    <row r="624" spans="1:16" x14ac:dyDescent="0.2">
      <c r="A624">
        <f>'02 · Variables'!$B$45</f>
        <v>0</v>
      </c>
      <c r="B624">
        <f>IF('02 · Variables'!$C$45&lt;&gt;"",1,0)</f>
        <v>0</v>
      </c>
      <c r="C624">
        <f>SUM(_motor!$A$49:$CB$49)</f>
        <v>0</v>
      </c>
      <c r="D624">
        <f>SUM(_motor!AM$11:AM$90)</f>
        <v>0</v>
      </c>
      <c r="E624">
        <f>SUM(_motor!$A$295:$CB$295)</f>
        <v>0</v>
      </c>
      <c r="F624">
        <f>SUM(_motor!AM$257:AM$336)</f>
        <v>0</v>
      </c>
      <c r="G624">
        <f>SUM(_motor!$A$131:$CB$131)</f>
        <v>0</v>
      </c>
      <c r="H624">
        <f>SUM(_motor!AM$93:AM$172)</f>
        <v>0</v>
      </c>
      <c r="I624">
        <f>SUM(_motor!$A$541:$CB$541)</f>
        <v>0</v>
      </c>
      <c r="J624">
        <f>SUM(_motor!AM$503:AM$582)</f>
        <v>0</v>
      </c>
      <c r="K624">
        <f>SUM(_motor!$A$213:$CB$213)</f>
        <v>0</v>
      </c>
      <c r="L624">
        <f>SUM(_motor!$A$377:$CB$377)</f>
        <v>0</v>
      </c>
      <c r="M624" t="str">
        <f>IF($B624=0,"",SUMPRODUCT(_motor!$B$586:$B$665*(_motor!$C$586:$C$665&gt;$C624))+(SUMPRODUCT(_motor!$B$586:$B$665*(_motor!$C$586:$C$665=$C624))+1)/2)</f>
        <v/>
      </c>
      <c r="N624" t="str">
        <f>IF($B624=0,"",SUMPRODUCT(_motor!$B$586:$B$665*(_motor!$K$586:$K$665&gt;$K624))+(SUMPRODUCT(_motor!$B$586:$B$665*(_motor!$K$586:$K$665=$K624))+1)/2)</f>
        <v/>
      </c>
      <c r="O624" t="str">
        <f>IF($B624=0,"",SUMPRODUCT(_motor!$B$586:$B$665*(_motor!$E$586:$E$665&gt;$E624))+(SUMPRODUCT(_motor!$B$586:$B$665*(_motor!$E$586:$E$665=$E624))+1)/2)</f>
        <v/>
      </c>
      <c r="P624" t="str">
        <f>IF($B624=0,"",SUMPRODUCT(_motor!$B$586:$B$665*(_motor!$L$586:$L$665&gt;$L624))+(SUMPRODUCT(_motor!$B$586:$B$665*(_motor!$L$586:$L$665=$L624))+1)/2)</f>
        <v/>
      </c>
    </row>
    <row r="625" spans="1:16" x14ac:dyDescent="0.2">
      <c r="A625">
        <f>'02 · Variables'!$B$46</f>
        <v>0</v>
      </c>
      <c r="B625">
        <f>IF('02 · Variables'!$C$46&lt;&gt;"",1,0)</f>
        <v>0</v>
      </c>
      <c r="C625">
        <f>SUM(_motor!$A$50:$CB$50)</f>
        <v>0</v>
      </c>
      <c r="D625">
        <f>SUM(_motor!AN$11:AN$90)</f>
        <v>0</v>
      </c>
      <c r="E625">
        <f>SUM(_motor!$A$296:$CB$296)</f>
        <v>0</v>
      </c>
      <c r="F625">
        <f>SUM(_motor!AN$257:AN$336)</f>
        <v>0</v>
      </c>
      <c r="G625">
        <f>SUM(_motor!$A$132:$CB$132)</f>
        <v>0</v>
      </c>
      <c r="H625">
        <f>SUM(_motor!AN$93:AN$172)</f>
        <v>0</v>
      </c>
      <c r="I625">
        <f>SUM(_motor!$A$542:$CB$542)</f>
        <v>0</v>
      </c>
      <c r="J625">
        <f>SUM(_motor!AN$503:AN$582)</f>
        <v>0</v>
      </c>
      <c r="K625">
        <f>SUM(_motor!$A$214:$CB$214)</f>
        <v>0</v>
      </c>
      <c r="L625">
        <f>SUM(_motor!$A$378:$CB$378)</f>
        <v>0</v>
      </c>
      <c r="M625" t="str">
        <f>IF($B625=0,"",SUMPRODUCT(_motor!$B$586:$B$665*(_motor!$C$586:$C$665&gt;$C625))+(SUMPRODUCT(_motor!$B$586:$B$665*(_motor!$C$586:$C$665=$C625))+1)/2)</f>
        <v/>
      </c>
      <c r="N625" t="str">
        <f>IF($B625=0,"",SUMPRODUCT(_motor!$B$586:$B$665*(_motor!$K$586:$K$665&gt;$K625))+(SUMPRODUCT(_motor!$B$586:$B$665*(_motor!$K$586:$K$665=$K625))+1)/2)</f>
        <v/>
      </c>
      <c r="O625" t="str">
        <f>IF($B625=0,"",SUMPRODUCT(_motor!$B$586:$B$665*(_motor!$E$586:$E$665&gt;$E625))+(SUMPRODUCT(_motor!$B$586:$B$665*(_motor!$E$586:$E$665=$E625))+1)/2)</f>
        <v/>
      </c>
      <c r="P625" t="str">
        <f>IF($B625=0,"",SUMPRODUCT(_motor!$B$586:$B$665*(_motor!$L$586:$L$665&gt;$L625))+(SUMPRODUCT(_motor!$B$586:$B$665*(_motor!$L$586:$L$665=$L625))+1)/2)</f>
        <v/>
      </c>
    </row>
    <row r="626" spans="1:16" x14ac:dyDescent="0.2">
      <c r="A626">
        <f>'02 · Variables'!$B$47</f>
        <v>0</v>
      </c>
      <c r="B626">
        <f>IF('02 · Variables'!$C$47&lt;&gt;"",1,0)</f>
        <v>0</v>
      </c>
      <c r="C626">
        <f>SUM(_motor!$A$51:$CB$51)</f>
        <v>0</v>
      </c>
      <c r="D626">
        <f>SUM(_motor!AO$11:AO$90)</f>
        <v>0</v>
      </c>
      <c r="E626">
        <f>SUM(_motor!$A$297:$CB$297)</f>
        <v>0</v>
      </c>
      <c r="F626">
        <f>SUM(_motor!AO$257:AO$336)</f>
        <v>0</v>
      </c>
      <c r="G626">
        <f>SUM(_motor!$A$133:$CB$133)</f>
        <v>0</v>
      </c>
      <c r="H626">
        <f>SUM(_motor!AO$93:AO$172)</f>
        <v>0</v>
      </c>
      <c r="I626">
        <f>SUM(_motor!$A$543:$CB$543)</f>
        <v>0</v>
      </c>
      <c r="J626">
        <f>SUM(_motor!AO$503:AO$582)</f>
        <v>0</v>
      </c>
      <c r="K626">
        <f>SUM(_motor!$A$215:$CB$215)</f>
        <v>0</v>
      </c>
      <c r="L626">
        <f>SUM(_motor!$A$379:$CB$379)</f>
        <v>0</v>
      </c>
      <c r="M626" t="str">
        <f>IF($B626=0,"",SUMPRODUCT(_motor!$B$586:$B$665*(_motor!$C$586:$C$665&gt;$C626))+(SUMPRODUCT(_motor!$B$586:$B$665*(_motor!$C$586:$C$665=$C626))+1)/2)</f>
        <v/>
      </c>
      <c r="N626" t="str">
        <f>IF($B626=0,"",SUMPRODUCT(_motor!$B$586:$B$665*(_motor!$K$586:$K$665&gt;$K626))+(SUMPRODUCT(_motor!$B$586:$B$665*(_motor!$K$586:$K$665=$K626))+1)/2)</f>
        <v/>
      </c>
      <c r="O626" t="str">
        <f>IF($B626=0,"",SUMPRODUCT(_motor!$B$586:$B$665*(_motor!$E$586:$E$665&gt;$E626))+(SUMPRODUCT(_motor!$B$586:$B$665*(_motor!$E$586:$E$665=$E626))+1)/2)</f>
        <v/>
      </c>
      <c r="P626" t="str">
        <f>IF($B626=0,"",SUMPRODUCT(_motor!$B$586:$B$665*(_motor!$L$586:$L$665&gt;$L626))+(SUMPRODUCT(_motor!$B$586:$B$665*(_motor!$L$586:$L$665=$L626))+1)/2)</f>
        <v/>
      </c>
    </row>
    <row r="627" spans="1:16" x14ac:dyDescent="0.2">
      <c r="A627">
        <f>'02 · Variables'!$B$48</f>
        <v>0</v>
      </c>
      <c r="B627">
        <f>IF('02 · Variables'!$C$48&lt;&gt;"",1,0)</f>
        <v>0</v>
      </c>
      <c r="C627">
        <f>SUM(_motor!$A$52:$CB$52)</f>
        <v>0</v>
      </c>
      <c r="D627">
        <f>SUM(_motor!AP$11:AP$90)</f>
        <v>0</v>
      </c>
      <c r="E627">
        <f>SUM(_motor!$A$298:$CB$298)</f>
        <v>0</v>
      </c>
      <c r="F627">
        <f>SUM(_motor!AP$257:AP$336)</f>
        <v>0</v>
      </c>
      <c r="G627">
        <f>SUM(_motor!$A$134:$CB$134)</f>
        <v>0</v>
      </c>
      <c r="H627">
        <f>SUM(_motor!AP$93:AP$172)</f>
        <v>0</v>
      </c>
      <c r="I627">
        <f>SUM(_motor!$A$544:$CB$544)</f>
        <v>0</v>
      </c>
      <c r="J627">
        <f>SUM(_motor!AP$503:AP$582)</f>
        <v>0</v>
      </c>
      <c r="K627">
        <f>SUM(_motor!$A$216:$CB$216)</f>
        <v>0</v>
      </c>
      <c r="L627">
        <f>SUM(_motor!$A$380:$CB$380)</f>
        <v>0</v>
      </c>
      <c r="M627" t="str">
        <f>IF($B627=0,"",SUMPRODUCT(_motor!$B$586:$B$665*(_motor!$C$586:$C$665&gt;$C627))+(SUMPRODUCT(_motor!$B$586:$B$665*(_motor!$C$586:$C$665=$C627))+1)/2)</f>
        <v/>
      </c>
      <c r="N627" t="str">
        <f>IF($B627=0,"",SUMPRODUCT(_motor!$B$586:$B$665*(_motor!$K$586:$K$665&gt;$K627))+(SUMPRODUCT(_motor!$B$586:$B$665*(_motor!$K$586:$K$665=$K627))+1)/2)</f>
        <v/>
      </c>
      <c r="O627" t="str">
        <f>IF($B627=0,"",SUMPRODUCT(_motor!$B$586:$B$665*(_motor!$E$586:$E$665&gt;$E627))+(SUMPRODUCT(_motor!$B$586:$B$665*(_motor!$E$586:$E$665=$E627))+1)/2)</f>
        <v/>
      </c>
      <c r="P627" t="str">
        <f>IF($B627=0,"",SUMPRODUCT(_motor!$B$586:$B$665*(_motor!$L$586:$L$665&gt;$L627))+(SUMPRODUCT(_motor!$B$586:$B$665*(_motor!$L$586:$L$665=$L627))+1)/2)</f>
        <v/>
      </c>
    </row>
    <row r="628" spans="1:16" x14ac:dyDescent="0.2">
      <c r="A628">
        <f>'02 · Variables'!$B$49</f>
        <v>0</v>
      </c>
      <c r="B628">
        <f>IF('02 · Variables'!$C$49&lt;&gt;"",1,0)</f>
        <v>0</v>
      </c>
      <c r="C628">
        <f>SUM(_motor!$A$53:$CB$53)</f>
        <v>0</v>
      </c>
      <c r="D628">
        <f>SUM(_motor!AQ$11:AQ$90)</f>
        <v>0</v>
      </c>
      <c r="E628">
        <f>SUM(_motor!$A$299:$CB$299)</f>
        <v>0</v>
      </c>
      <c r="F628">
        <f>SUM(_motor!AQ$257:AQ$336)</f>
        <v>0</v>
      </c>
      <c r="G628">
        <f>SUM(_motor!$A$135:$CB$135)</f>
        <v>0</v>
      </c>
      <c r="H628">
        <f>SUM(_motor!AQ$93:AQ$172)</f>
        <v>0</v>
      </c>
      <c r="I628">
        <f>SUM(_motor!$A$545:$CB$545)</f>
        <v>0</v>
      </c>
      <c r="J628">
        <f>SUM(_motor!AQ$503:AQ$582)</f>
        <v>0</v>
      </c>
      <c r="K628">
        <f>SUM(_motor!$A$217:$CB$217)</f>
        <v>0</v>
      </c>
      <c r="L628">
        <f>SUM(_motor!$A$381:$CB$381)</f>
        <v>0</v>
      </c>
      <c r="M628" t="str">
        <f>IF($B628=0,"",SUMPRODUCT(_motor!$B$586:$B$665*(_motor!$C$586:$C$665&gt;$C628))+(SUMPRODUCT(_motor!$B$586:$B$665*(_motor!$C$586:$C$665=$C628))+1)/2)</f>
        <v/>
      </c>
      <c r="N628" t="str">
        <f>IF($B628=0,"",SUMPRODUCT(_motor!$B$586:$B$665*(_motor!$K$586:$K$665&gt;$K628))+(SUMPRODUCT(_motor!$B$586:$B$665*(_motor!$K$586:$K$665=$K628))+1)/2)</f>
        <v/>
      </c>
      <c r="O628" t="str">
        <f>IF($B628=0,"",SUMPRODUCT(_motor!$B$586:$B$665*(_motor!$E$586:$E$665&gt;$E628))+(SUMPRODUCT(_motor!$B$586:$B$665*(_motor!$E$586:$E$665=$E628))+1)/2)</f>
        <v/>
      </c>
      <c r="P628" t="str">
        <f>IF($B628=0,"",SUMPRODUCT(_motor!$B$586:$B$665*(_motor!$L$586:$L$665&gt;$L628))+(SUMPRODUCT(_motor!$B$586:$B$665*(_motor!$L$586:$L$665=$L628))+1)/2)</f>
        <v/>
      </c>
    </row>
    <row r="629" spans="1:16" x14ac:dyDescent="0.2">
      <c r="A629">
        <f>'02 · Variables'!$B$50</f>
        <v>0</v>
      </c>
      <c r="B629">
        <f>IF('02 · Variables'!$C$50&lt;&gt;"",1,0)</f>
        <v>0</v>
      </c>
      <c r="C629">
        <f>SUM(_motor!$A$54:$CB$54)</f>
        <v>0</v>
      </c>
      <c r="D629">
        <f>SUM(_motor!AR$11:AR$90)</f>
        <v>0</v>
      </c>
      <c r="E629">
        <f>SUM(_motor!$A$300:$CB$300)</f>
        <v>0</v>
      </c>
      <c r="F629">
        <f>SUM(_motor!AR$257:AR$336)</f>
        <v>0</v>
      </c>
      <c r="G629">
        <f>SUM(_motor!$A$136:$CB$136)</f>
        <v>0</v>
      </c>
      <c r="H629">
        <f>SUM(_motor!AR$93:AR$172)</f>
        <v>0</v>
      </c>
      <c r="I629">
        <f>SUM(_motor!$A$546:$CB$546)</f>
        <v>0</v>
      </c>
      <c r="J629">
        <f>SUM(_motor!AR$503:AR$582)</f>
        <v>0</v>
      </c>
      <c r="K629">
        <f>SUM(_motor!$A$218:$CB$218)</f>
        <v>0</v>
      </c>
      <c r="L629">
        <f>SUM(_motor!$A$382:$CB$382)</f>
        <v>0</v>
      </c>
      <c r="M629" t="str">
        <f>IF($B629=0,"",SUMPRODUCT(_motor!$B$586:$B$665*(_motor!$C$586:$C$665&gt;$C629))+(SUMPRODUCT(_motor!$B$586:$B$665*(_motor!$C$586:$C$665=$C629))+1)/2)</f>
        <v/>
      </c>
      <c r="N629" t="str">
        <f>IF($B629=0,"",SUMPRODUCT(_motor!$B$586:$B$665*(_motor!$K$586:$K$665&gt;$K629))+(SUMPRODUCT(_motor!$B$586:$B$665*(_motor!$K$586:$K$665=$K629))+1)/2)</f>
        <v/>
      </c>
      <c r="O629" t="str">
        <f>IF($B629=0,"",SUMPRODUCT(_motor!$B$586:$B$665*(_motor!$E$586:$E$665&gt;$E629))+(SUMPRODUCT(_motor!$B$586:$B$665*(_motor!$E$586:$E$665=$E629))+1)/2)</f>
        <v/>
      </c>
      <c r="P629" t="str">
        <f>IF($B629=0,"",SUMPRODUCT(_motor!$B$586:$B$665*(_motor!$L$586:$L$665&gt;$L629))+(SUMPRODUCT(_motor!$B$586:$B$665*(_motor!$L$586:$L$665=$L629))+1)/2)</f>
        <v/>
      </c>
    </row>
    <row r="630" spans="1:16" x14ac:dyDescent="0.2">
      <c r="A630">
        <f>'02 · Variables'!$B$51</f>
        <v>0</v>
      </c>
      <c r="B630">
        <f>IF('02 · Variables'!$C$51&lt;&gt;"",1,0)</f>
        <v>0</v>
      </c>
      <c r="C630">
        <f>SUM(_motor!$A$55:$CB$55)</f>
        <v>0</v>
      </c>
      <c r="D630">
        <f>SUM(_motor!AS$11:AS$90)</f>
        <v>0</v>
      </c>
      <c r="E630">
        <f>SUM(_motor!$A$301:$CB$301)</f>
        <v>0</v>
      </c>
      <c r="F630">
        <f>SUM(_motor!AS$257:AS$336)</f>
        <v>0</v>
      </c>
      <c r="G630">
        <f>SUM(_motor!$A$137:$CB$137)</f>
        <v>0</v>
      </c>
      <c r="H630">
        <f>SUM(_motor!AS$93:AS$172)</f>
        <v>0</v>
      </c>
      <c r="I630">
        <f>SUM(_motor!$A$547:$CB$547)</f>
        <v>0</v>
      </c>
      <c r="J630">
        <f>SUM(_motor!AS$503:AS$582)</f>
        <v>0</v>
      </c>
      <c r="K630">
        <f>SUM(_motor!$A$219:$CB$219)</f>
        <v>0</v>
      </c>
      <c r="L630">
        <f>SUM(_motor!$A$383:$CB$383)</f>
        <v>0</v>
      </c>
      <c r="M630" t="str">
        <f>IF($B630=0,"",SUMPRODUCT(_motor!$B$586:$B$665*(_motor!$C$586:$C$665&gt;$C630))+(SUMPRODUCT(_motor!$B$586:$B$665*(_motor!$C$586:$C$665=$C630))+1)/2)</f>
        <v/>
      </c>
      <c r="N630" t="str">
        <f>IF($B630=0,"",SUMPRODUCT(_motor!$B$586:$B$665*(_motor!$K$586:$K$665&gt;$K630))+(SUMPRODUCT(_motor!$B$586:$B$665*(_motor!$K$586:$K$665=$K630))+1)/2)</f>
        <v/>
      </c>
      <c r="O630" t="str">
        <f>IF($B630=0,"",SUMPRODUCT(_motor!$B$586:$B$665*(_motor!$E$586:$E$665&gt;$E630))+(SUMPRODUCT(_motor!$B$586:$B$665*(_motor!$E$586:$E$665=$E630))+1)/2)</f>
        <v/>
      </c>
      <c r="P630" t="str">
        <f>IF($B630=0,"",SUMPRODUCT(_motor!$B$586:$B$665*(_motor!$L$586:$L$665&gt;$L630))+(SUMPRODUCT(_motor!$B$586:$B$665*(_motor!$L$586:$L$665=$L630))+1)/2)</f>
        <v/>
      </c>
    </row>
    <row r="631" spans="1:16" x14ac:dyDescent="0.2">
      <c r="A631">
        <f>'02 · Variables'!$B$52</f>
        <v>0</v>
      </c>
      <c r="B631">
        <f>IF('02 · Variables'!$C$52&lt;&gt;"",1,0)</f>
        <v>0</v>
      </c>
      <c r="C631">
        <f>SUM(_motor!$A$56:$CB$56)</f>
        <v>0</v>
      </c>
      <c r="D631">
        <f>SUM(_motor!AT$11:AT$90)</f>
        <v>0</v>
      </c>
      <c r="E631">
        <f>SUM(_motor!$A$302:$CB$302)</f>
        <v>0</v>
      </c>
      <c r="F631">
        <f>SUM(_motor!AT$257:AT$336)</f>
        <v>0</v>
      </c>
      <c r="G631">
        <f>SUM(_motor!$A$138:$CB$138)</f>
        <v>0</v>
      </c>
      <c r="H631">
        <f>SUM(_motor!AT$93:AT$172)</f>
        <v>0</v>
      </c>
      <c r="I631">
        <f>SUM(_motor!$A$548:$CB$548)</f>
        <v>0</v>
      </c>
      <c r="J631">
        <f>SUM(_motor!AT$503:AT$582)</f>
        <v>0</v>
      </c>
      <c r="K631">
        <f>SUM(_motor!$A$220:$CB$220)</f>
        <v>0</v>
      </c>
      <c r="L631">
        <f>SUM(_motor!$A$384:$CB$384)</f>
        <v>0</v>
      </c>
      <c r="M631" t="str">
        <f>IF($B631=0,"",SUMPRODUCT(_motor!$B$586:$B$665*(_motor!$C$586:$C$665&gt;$C631))+(SUMPRODUCT(_motor!$B$586:$B$665*(_motor!$C$586:$C$665=$C631))+1)/2)</f>
        <v/>
      </c>
      <c r="N631" t="str">
        <f>IF($B631=0,"",SUMPRODUCT(_motor!$B$586:$B$665*(_motor!$K$586:$K$665&gt;$K631))+(SUMPRODUCT(_motor!$B$586:$B$665*(_motor!$K$586:$K$665=$K631))+1)/2)</f>
        <v/>
      </c>
      <c r="O631" t="str">
        <f>IF($B631=0,"",SUMPRODUCT(_motor!$B$586:$B$665*(_motor!$E$586:$E$665&gt;$E631))+(SUMPRODUCT(_motor!$B$586:$B$665*(_motor!$E$586:$E$665=$E631))+1)/2)</f>
        <v/>
      </c>
      <c r="P631" t="str">
        <f>IF($B631=0,"",SUMPRODUCT(_motor!$B$586:$B$665*(_motor!$L$586:$L$665&gt;$L631))+(SUMPRODUCT(_motor!$B$586:$B$665*(_motor!$L$586:$L$665=$L631))+1)/2)</f>
        <v/>
      </c>
    </row>
    <row r="632" spans="1:16" x14ac:dyDescent="0.2">
      <c r="A632">
        <f>'02 · Variables'!$B$53</f>
        <v>0</v>
      </c>
      <c r="B632">
        <f>IF('02 · Variables'!$C$53&lt;&gt;"",1,0)</f>
        <v>0</v>
      </c>
      <c r="C632">
        <f>SUM(_motor!$A$57:$CB$57)</f>
        <v>0</v>
      </c>
      <c r="D632">
        <f>SUM(_motor!AU$11:AU$90)</f>
        <v>0</v>
      </c>
      <c r="E632">
        <f>SUM(_motor!$A$303:$CB$303)</f>
        <v>0</v>
      </c>
      <c r="F632">
        <f>SUM(_motor!AU$257:AU$336)</f>
        <v>0</v>
      </c>
      <c r="G632">
        <f>SUM(_motor!$A$139:$CB$139)</f>
        <v>0</v>
      </c>
      <c r="H632">
        <f>SUM(_motor!AU$93:AU$172)</f>
        <v>0</v>
      </c>
      <c r="I632">
        <f>SUM(_motor!$A$549:$CB$549)</f>
        <v>0</v>
      </c>
      <c r="J632">
        <f>SUM(_motor!AU$503:AU$582)</f>
        <v>0</v>
      </c>
      <c r="K632">
        <f>SUM(_motor!$A$221:$CB$221)</f>
        <v>0</v>
      </c>
      <c r="L632">
        <f>SUM(_motor!$A$385:$CB$385)</f>
        <v>0</v>
      </c>
      <c r="M632" t="str">
        <f>IF($B632=0,"",SUMPRODUCT(_motor!$B$586:$B$665*(_motor!$C$586:$C$665&gt;$C632))+(SUMPRODUCT(_motor!$B$586:$B$665*(_motor!$C$586:$C$665=$C632))+1)/2)</f>
        <v/>
      </c>
      <c r="N632" t="str">
        <f>IF($B632=0,"",SUMPRODUCT(_motor!$B$586:$B$665*(_motor!$K$586:$K$665&gt;$K632))+(SUMPRODUCT(_motor!$B$586:$B$665*(_motor!$K$586:$K$665=$K632))+1)/2)</f>
        <v/>
      </c>
      <c r="O632" t="str">
        <f>IF($B632=0,"",SUMPRODUCT(_motor!$B$586:$B$665*(_motor!$E$586:$E$665&gt;$E632))+(SUMPRODUCT(_motor!$B$586:$B$665*(_motor!$E$586:$E$665=$E632))+1)/2)</f>
        <v/>
      </c>
      <c r="P632" t="str">
        <f>IF($B632=0,"",SUMPRODUCT(_motor!$B$586:$B$665*(_motor!$L$586:$L$665&gt;$L632))+(SUMPRODUCT(_motor!$B$586:$B$665*(_motor!$L$586:$L$665=$L632))+1)/2)</f>
        <v/>
      </c>
    </row>
    <row r="633" spans="1:16" x14ac:dyDescent="0.2">
      <c r="A633">
        <f>'02 · Variables'!$B$54</f>
        <v>0</v>
      </c>
      <c r="B633">
        <f>IF('02 · Variables'!$C$54&lt;&gt;"",1,0)</f>
        <v>0</v>
      </c>
      <c r="C633">
        <f>SUM(_motor!$A$58:$CB$58)</f>
        <v>0</v>
      </c>
      <c r="D633">
        <f>SUM(_motor!AV$11:AV$90)</f>
        <v>0</v>
      </c>
      <c r="E633">
        <f>SUM(_motor!$A$304:$CB$304)</f>
        <v>0</v>
      </c>
      <c r="F633">
        <f>SUM(_motor!AV$257:AV$336)</f>
        <v>0</v>
      </c>
      <c r="G633">
        <f>SUM(_motor!$A$140:$CB$140)</f>
        <v>0</v>
      </c>
      <c r="H633">
        <f>SUM(_motor!AV$93:AV$172)</f>
        <v>0</v>
      </c>
      <c r="I633">
        <f>SUM(_motor!$A$550:$CB$550)</f>
        <v>0</v>
      </c>
      <c r="J633">
        <f>SUM(_motor!AV$503:AV$582)</f>
        <v>0</v>
      </c>
      <c r="K633">
        <f>SUM(_motor!$A$222:$CB$222)</f>
        <v>0</v>
      </c>
      <c r="L633">
        <f>SUM(_motor!$A$386:$CB$386)</f>
        <v>0</v>
      </c>
      <c r="M633" t="str">
        <f>IF($B633=0,"",SUMPRODUCT(_motor!$B$586:$B$665*(_motor!$C$586:$C$665&gt;$C633))+(SUMPRODUCT(_motor!$B$586:$B$665*(_motor!$C$586:$C$665=$C633))+1)/2)</f>
        <v/>
      </c>
      <c r="N633" t="str">
        <f>IF($B633=0,"",SUMPRODUCT(_motor!$B$586:$B$665*(_motor!$K$586:$K$665&gt;$K633))+(SUMPRODUCT(_motor!$B$586:$B$665*(_motor!$K$586:$K$665=$K633))+1)/2)</f>
        <v/>
      </c>
      <c r="O633" t="str">
        <f>IF($B633=0,"",SUMPRODUCT(_motor!$B$586:$B$665*(_motor!$E$586:$E$665&gt;$E633))+(SUMPRODUCT(_motor!$B$586:$B$665*(_motor!$E$586:$E$665=$E633))+1)/2)</f>
        <v/>
      </c>
      <c r="P633" t="str">
        <f>IF($B633=0,"",SUMPRODUCT(_motor!$B$586:$B$665*(_motor!$L$586:$L$665&gt;$L633))+(SUMPRODUCT(_motor!$B$586:$B$665*(_motor!$L$586:$L$665=$L633))+1)/2)</f>
        <v/>
      </c>
    </row>
    <row r="634" spans="1:16" x14ac:dyDescent="0.2">
      <c r="A634">
        <f>'02 · Variables'!$B$55</f>
        <v>0</v>
      </c>
      <c r="B634">
        <f>IF('02 · Variables'!$C$55&lt;&gt;"",1,0)</f>
        <v>0</v>
      </c>
      <c r="C634">
        <f>SUM(_motor!$A$59:$CB$59)</f>
        <v>0</v>
      </c>
      <c r="D634">
        <f>SUM(_motor!AW$11:AW$90)</f>
        <v>0</v>
      </c>
      <c r="E634">
        <f>SUM(_motor!$A$305:$CB$305)</f>
        <v>0</v>
      </c>
      <c r="F634">
        <f>SUM(_motor!AW$257:AW$336)</f>
        <v>0</v>
      </c>
      <c r="G634">
        <f>SUM(_motor!$A$141:$CB$141)</f>
        <v>0</v>
      </c>
      <c r="H634">
        <f>SUM(_motor!AW$93:AW$172)</f>
        <v>0</v>
      </c>
      <c r="I634">
        <f>SUM(_motor!$A$551:$CB$551)</f>
        <v>0</v>
      </c>
      <c r="J634">
        <f>SUM(_motor!AW$503:AW$582)</f>
        <v>0</v>
      </c>
      <c r="K634">
        <f>SUM(_motor!$A$223:$CB$223)</f>
        <v>0</v>
      </c>
      <c r="L634">
        <f>SUM(_motor!$A$387:$CB$387)</f>
        <v>0</v>
      </c>
      <c r="M634" t="str">
        <f>IF($B634=0,"",SUMPRODUCT(_motor!$B$586:$B$665*(_motor!$C$586:$C$665&gt;$C634))+(SUMPRODUCT(_motor!$B$586:$B$665*(_motor!$C$586:$C$665=$C634))+1)/2)</f>
        <v/>
      </c>
      <c r="N634" t="str">
        <f>IF($B634=0,"",SUMPRODUCT(_motor!$B$586:$B$665*(_motor!$K$586:$K$665&gt;$K634))+(SUMPRODUCT(_motor!$B$586:$B$665*(_motor!$K$586:$K$665=$K634))+1)/2)</f>
        <v/>
      </c>
      <c r="O634" t="str">
        <f>IF($B634=0,"",SUMPRODUCT(_motor!$B$586:$B$665*(_motor!$E$586:$E$665&gt;$E634))+(SUMPRODUCT(_motor!$B$586:$B$665*(_motor!$E$586:$E$665=$E634))+1)/2)</f>
        <v/>
      </c>
      <c r="P634" t="str">
        <f>IF($B634=0,"",SUMPRODUCT(_motor!$B$586:$B$665*(_motor!$L$586:$L$665&gt;$L634))+(SUMPRODUCT(_motor!$B$586:$B$665*(_motor!$L$586:$L$665=$L634))+1)/2)</f>
        <v/>
      </c>
    </row>
    <row r="635" spans="1:16" x14ac:dyDescent="0.2">
      <c r="A635">
        <f>'02 · Variables'!$B$56</f>
        <v>0</v>
      </c>
      <c r="B635">
        <f>IF('02 · Variables'!$C$56&lt;&gt;"",1,0)</f>
        <v>0</v>
      </c>
      <c r="C635">
        <f>SUM(_motor!$A$60:$CB$60)</f>
        <v>0</v>
      </c>
      <c r="D635">
        <f>SUM(_motor!AX$11:AX$90)</f>
        <v>0</v>
      </c>
      <c r="E635">
        <f>SUM(_motor!$A$306:$CB$306)</f>
        <v>0</v>
      </c>
      <c r="F635">
        <f>SUM(_motor!AX$257:AX$336)</f>
        <v>0</v>
      </c>
      <c r="G635">
        <f>SUM(_motor!$A$142:$CB$142)</f>
        <v>0</v>
      </c>
      <c r="H635">
        <f>SUM(_motor!AX$93:AX$172)</f>
        <v>0</v>
      </c>
      <c r="I635">
        <f>SUM(_motor!$A$552:$CB$552)</f>
        <v>0</v>
      </c>
      <c r="J635">
        <f>SUM(_motor!AX$503:AX$582)</f>
        <v>0</v>
      </c>
      <c r="K635">
        <f>SUM(_motor!$A$224:$CB$224)</f>
        <v>0</v>
      </c>
      <c r="L635">
        <f>SUM(_motor!$A$388:$CB$388)</f>
        <v>0</v>
      </c>
      <c r="M635" t="str">
        <f>IF($B635=0,"",SUMPRODUCT(_motor!$B$586:$B$665*(_motor!$C$586:$C$665&gt;$C635))+(SUMPRODUCT(_motor!$B$586:$B$665*(_motor!$C$586:$C$665=$C635))+1)/2)</f>
        <v/>
      </c>
      <c r="N635" t="str">
        <f>IF($B635=0,"",SUMPRODUCT(_motor!$B$586:$B$665*(_motor!$K$586:$K$665&gt;$K635))+(SUMPRODUCT(_motor!$B$586:$B$665*(_motor!$K$586:$K$665=$K635))+1)/2)</f>
        <v/>
      </c>
      <c r="O635" t="str">
        <f>IF($B635=0,"",SUMPRODUCT(_motor!$B$586:$B$665*(_motor!$E$586:$E$665&gt;$E635))+(SUMPRODUCT(_motor!$B$586:$B$665*(_motor!$E$586:$E$665=$E635))+1)/2)</f>
        <v/>
      </c>
      <c r="P635" t="str">
        <f>IF($B635=0,"",SUMPRODUCT(_motor!$B$586:$B$665*(_motor!$L$586:$L$665&gt;$L635))+(SUMPRODUCT(_motor!$B$586:$B$665*(_motor!$L$586:$L$665=$L635))+1)/2)</f>
        <v/>
      </c>
    </row>
    <row r="636" spans="1:16" x14ac:dyDescent="0.2">
      <c r="A636">
        <f>'02 · Variables'!$B$57</f>
        <v>0</v>
      </c>
      <c r="B636">
        <f>IF('02 · Variables'!$C$57&lt;&gt;"",1,0)</f>
        <v>0</v>
      </c>
      <c r="C636">
        <f>SUM(_motor!$A$61:$CB$61)</f>
        <v>0</v>
      </c>
      <c r="D636">
        <f>SUM(_motor!AY$11:AY$90)</f>
        <v>0</v>
      </c>
      <c r="E636">
        <f>SUM(_motor!$A$307:$CB$307)</f>
        <v>0</v>
      </c>
      <c r="F636">
        <f>SUM(_motor!AY$257:AY$336)</f>
        <v>0</v>
      </c>
      <c r="G636">
        <f>SUM(_motor!$A$143:$CB$143)</f>
        <v>0</v>
      </c>
      <c r="H636">
        <f>SUM(_motor!AY$93:AY$172)</f>
        <v>0</v>
      </c>
      <c r="I636">
        <f>SUM(_motor!$A$553:$CB$553)</f>
        <v>0</v>
      </c>
      <c r="J636">
        <f>SUM(_motor!AY$503:AY$582)</f>
        <v>0</v>
      </c>
      <c r="K636">
        <f>SUM(_motor!$A$225:$CB$225)</f>
        <v>0</v>
      </c>
      <c r="L636">
        <f>SUM(_motor!$A$389:$CB$389)</f>
        <v>0</v>
      </c>
      <c r="M636" t="str">
        <f>IF($B636=0,"",SUMPRODUCT(_motor!$B$586:$B$665*(_motor!$C$586:$C$665&gt;$C636))+(SUMPRODUCT(_motor!$B$586:$B$665*(_motor!$C$586:$C$665=$C636))+1)/2)</f>
        <v/>
      </c>
      <c r="N636" t="str">
        <f>IF($B636=0,"",SUMPRODUCT(_motor!$B$586:$B$665*(_motor!$K$586:$K$665&gt;$K636))+(SUMPRODUCT(_motor!$B$586:$B$665*(_motor!$K$586:$K$665=$K636))+1)/2)</f>
        <v/>
      </c>
      <c r="O636" t="str">
        <f>IF($B636=0,"",SUMPRODUCT(_motor!$B$586:$B$665*(_motor!$E$586:$E$665&gt;$E636))+(SUMPRODUCT(_motor!$B$586:$B$665*(_motor!$E$586:$E$665=$E636))+1)/2)</f>
        <v/>
      </c>
      <c r="P636" t="str">
        <f>IF($B636=0,"",SUMPRODUCT(_motor!$B$586:$B$665*(_motor!$L$586:$L$665&gt;$L636))+(SUMPRODUCT(_motor!$B$586:$B$665*(_motor!$L$586:$L$665=$L636))+1)/2)</f>
        <v/>
      </c>
    </row>
    <row r="637" spans="1:16" x14ac:dyDescent="0.2">
      <c r="A637">
        <f>'02 · Variables'!$B$58</f>
        <v>0</v>
      </c>
      <c r="B637">
        <f>IF('02 · Variables'!$C$58&lt;&gt;"",1,0)</f>
        <v>0</v>
      </c>
      <c r="C637">
        <f>SUM(_motor!$A$62:$CB$62)</f>
        <v>0</v>
      </c>
      <c r="D637">
        <f>SUM(_motor!AZ$11:AZ$90)</f>
        <v>0</v>
      </c>
      <c r="E637">
        <f>SUM(_motor!$A$308:$CB$308)</f>
        <v>0</v>
      </c>
      <c r="F637">
        <f>SUM(_motor!AZ$257:AZ$336)</f>
        <v>0</v>
      </c>
      <c r="G637">
        <f>SUM(_motor!$A$144:$CB$144)</f>
        <v>0</v>
      </c>
      <c r="H637">
        <f>SUM(_motor!AZ$93:AZ$172)</f>
        <v>0</v>
      </c>
      <c r="I637">
        <f>SUM(_motor!$A$554:$CB$554)</f>
        <v>0</v>
      </c>
      <c r="J637">
        <f>SUM(_motor!AZ$503:AZ$582)</f>
        <v>0</v>
      </c>
      <c r="K637">
        <f>SUM(_motor!$A$226:$CB$226)</f>
        <v>0</v>
      </c>
      <c r="L637">
        <f>SUM(_motor!$A$390:$CB$390)</f>
        <v>0</v>
      </c>
      <c r="M637" t="str">
        <f>IF($B637=0,"",SUMPRODUCT(_motor!$B$586:$B$665*(_motor!$C$586:$C$665&gt;$C637))+(SUMPRODUCT(_motor!$B$586:$B$665*(_motor!$C$586:$C$665=$C637))+1)/2)</f>
        <v/>
      </c>
      <c r="N637" t="str">
        <f>IF($B637=0,"",SUMPRODUCT(_motor!$B$586:$B$665*(_motor!$K$586:$K$665&gt;$K637))+(SUMPRODUCT(_motor!$B$586:$B$665*(_motor!$K$586:$K$665=$K637))+1)/2)</f>
        <v/>
      </c>
      <c r="O637" t="str">
        <f>IF($B637=0,"",SUMPRODUCT(_motor!$B$586:$B$665*(_motor!$E$586:$E$665&gt;$E637))+(SUMPRODUCT(_motor!$B$586:$B$665*(_motor!$E$586:$E$665=$E637))+1)/2)</f>
        <v/>
      </c>
      <c r="P637" t="str">
        <f>IF($B637=0,"",SUMPRODUCT(_motor!$B$586:$B$665*(_motor!$L$586:$L$665&gt;$L637))+(SUMPRODUCT(_motor!$B$586:$B$665*(_motor!$L$586:$L$665=$L637))+1)/2)</f>
        <v/>
      </c>
    </row>
    <row r="638" spans="1:16" x14ac:dyDescent="0.2">
      <c r="A638">
        <f>'02 · Variables'!$B$59</f>
        <v>0</v>
      </c>
      <c r="B638">
        <f>IF('02 · Variables'!$C$59&lt;&gt;"",1,0)</f>
        <v>0</v>
      </c>
      <c r="C638">
        <f>SUM(_motor!$A$63:$CB$63)</f>
        <v>0</v>
      </c>
      <c r="D638">
        <f>SUM(_motor!BA$11:BA$90)</f>
        <v>0</v>
      </c>
      <c r="E638">
        <f>SUM(_motor!$A$309:$CB$309)</f>
        <v>0</v>
      </c>
      <c r="F638">
        <f>SUM(_motor!BA$257:BA$336)</f>
        <v>0</v>
      </c>
      <c r="G638">
        <f>SUM(_motor!$A$145:$CB$145)</f>
        <v>0</v>
      </c>
      <c r="H638">
        <f>SUM(_motor!BA$93:BA$172)</f>
        <v>0</v>
      </c>
      <c r="I638">
        <f>SUM(_motor!$A$555:$CB$555)</f>
        <v>0</v>
      </c>
      <c r="J638">
        <f>SUM(_motor!BA$503:BA$582)</f>
        <v>0</v>
      </c>
      <c r="K638">
        <f>SUM(_motor!$A$227:$CB$227)</f>
        <v>0</v>
      </c>
      <c r="L638">
        <f>SUM(_motor!$A$391:$CB$391)</f>
        <v>0</v>
      </c>
      <c r="M638" t="str">
        <f>IF($B638=0,"",SUMPRODUCT(_motor!$B$586:$B$665*(_motor!$C$586:$C$665&gt;$C638))+(SUMPRODUCT(_motor!$B$586:$B$665*(_motor!$C$586:$C$665=$C638))+1)/2)</f>
        <v/>
      </c>
      <c r="N638" t="str">
        <f>IF($B638=0,"",SUMPRODUCT(_motor!$B$586:$B$665*(_motor!$K$586:$K$665&gt;$K638))+(SUMPRODUCT(_motor!$B$586:$B$665*(_motor!$K$586:$K$665=$K638))+1)/2)</f>
        <v/>
      </c>
      <c r="O638" t="str">
        <f>IF($B638=0,"",SUMPRODUCT(_motor!$B$586:$B$665*(_motor!$E$586:$E$665&gt;$E638))+(SUMPRODUCT(_motor!$B$586:$B$665*(_motor!$E$586:$E$665=$E638))+1)/2)</f>
        <v/>
      </c>
      <c r="P638" t="str">
        <f>IF($B638=0,"",SUMPRODUCT(_motor!$B$586:$B$665*(_motor!$L$586:$L$665&gt;$L638))+(SUMPRODUCT(_motor!$B$586:$B$665*(_motor!$L$586:$L$665=$L638))+1)/2)</f>
        <v/>
      </c>
    </row>
    <row r="639" spans="1:16" x14ac:dyDescent="0.2">
      <c r="A639">
        <f>'02 · Variables'!$B$60</f>
        <v>0</v>
      </c>
      <c r="B639">
        <f>IF('02 · Variables'!$C$60&lt;&gt;"",1,0)</f>
        <v>0</v>
      </c>
      <c r="C639">
        <f>SUM(_motor!$A$64:$CB$64)</f>
        <v>0</v>
      </c>
      <c r="D639">
        <f>SUM(_motor!BB$11:BB$90)</f>
        <v>0</v>
      </c>
      <c r="E639">
        <f>SUM(_motor!$A$310:$CB$310)</f>
        <v>0</v>
      </c>
      <c r="F639">
        <f>SUM(_motor!BB$257:BB$336)</f>
        <v>0</v>
      </c>
      <c r="G639">
        <f>SUM(_motor!$A$146:$CB$146)</f>
        <v>0</v>
      </c>
      <c r="H639">
        <f>SUM(_motor!BB$93:BB$172)</f>
        <v>0</v>
      </c>
      <c r="I639">
        <f>SUM(_motor!$A$556:$CB$556)</f>
        <v>0</v>
      </c>
      <c r="J639">
        <f>SUM(_motor!BB$503:BB$582)</f>
        <v>0</v>
      </c>
      <c r="K639">
        <f>SUM(_motor!$A$228:$CB$228)</f>
        <v>0</v>
      </c>
      <c r="L639">
        <f>SUM(_motor!$A$392:$CB$392)</f>
        <v>0</v>
      </c>
      <c r="M639" t="str">
        <f>IF($B639=0,"",SUMPRODUCT(_motor!$B$586:$B$665*(_motor!$C$586:$C$665&gt;$C639))+(SUMPRODUCT(_motor!$B$586:$B$665*(_motor!$C$586:$C$665=$C639))+1)/2)</f>
        <v/>
      </c>
      <c r="N639" t="str">
        <f>IF($B639=0,"",SUMPRODUCT(_motor!$B$586:$B$665*(_motor!$K$586:$K$665&gt;$K639))+(SUMPRODUCT(_motor!$B$586:$B$665*(_motor!$K$586:$K$665=$K639))+1)/2)</f>
        <v/>
      </c>
      <c r="O639" t="str">
        <f>IF($B639=0,"",SUMPRODUCT(_motor!$B$586:$B$665*(_motor!$E$586:$E$665&gt;$E639))+(SUMPRODUCT(_motor!$B$586:$B$665*(_motor!$E$586:$E$665=$E639))+1)/2)</f>
        <v/>
      </c>
      <c r="P639" t="str">
        <f>IF($B639=0,"",SUMPRODUCT(_motor!$B$586:$B$665*(_motor!$L$586:$L$665&gt;$L639))+(SUMPRODUCT(_motor!$B$586:$B$665*(_motor!$L$586:$L$665=$L639))+1)/2)</f>
        <v/>
      </c>
    </row>
    <row r="640" spans="1:16" x14ac:dyDescent="0.2">
      <c r="A640">
        <f>'02 · Variables'!$B$61</f>
        <v>0</v>
      </c>
      <c r="B640">
        <f>IF('02 · Variables'!$C$61&lt;&gt;"",1,0)</f>
        <v>0</v>
      </c>
      <c r="C640">
        <f>SUM(_motor!$A$65:$CB$65)</f>
        <v>0</v>
      </c>
      <c r="D640">
        <f>SUM(_motor!BC$11:BC$90)</f>
        <v>0</v>
      </c>
      <c r="E640">
        <f>SUM(_motor!$A$311:$CB$311)</f>
        <v>0</v>
      </c>
      <c r="F640">
        <f>SUM(_motor!BC$257:BC$336)</f>
        <v>0</v>
      </c>
      <c r="G640">
        <f>SUM(_motor!$A$147:$CB$147)</f>
        <v>0</v>
      </c>
      <c r="H640">
        <f>SUM(_motor!BC$93:BC$172)</f>
        <v>0</v>
      </c>
      <c r="I640">
        <f>SUM(_motor!$A$557:$CB$557)</f>
        <v>0</v>
      </c>
      <c r="J640">
        <f>SUM(_motor!BC$503:BC$582)</f>
        <v>0</v>
      </c>
      <c r="K640">
        <f>SUM(_motor!$A$229:$CB$229)</f>
        <v>0</v>
      </c>
      <c r="L640">
        <f>SUM(_motor!$A$393:$CB$393)</f>
        <v>0</v>
      </c>
      <c r="M640" t="str">
        <f>IF($B640=0,"",SUMPRODUCT(_motor!$B$586:$B$665*(_motor!$C$586:$C$665&gt;$C640))+(SUMPRODUCT(_motor!$B$586:$B$665*(_motor!$C$586:$C$665=$C640))+1)/2)</f>
        <v/>
      </c>
      <c r="N640" t="str">
        <f>IF($B640=0,"",SUMPRODUCT(_motor!$B$586:$B$665*(_motor!$K$586:$K$665&gt;$K640))+(SUMPRODUCT(_motor!$B$586:$B$665*(_motor!$K$586:$K$665=$K640))+1)/2)</f>
        <v/>
      </c>
      <c r="O640" t="str">
        <f>IF($B640=0,"",SUMPRODUCT(_motor!$B$586:$B$665*(_motor!$E$586:$E$665&gt;$E640))+(SUMPRODUCT(_motor!$B$586:$B$665*(_motor!$E$586:$E$665=$E640))+1)/2)</f>
        <v/>
      </c>
      <c r="P640" t="str">
        <f>IF($B640=0,"",SUMPRODUCT(_motor!$B$586:$B$665*(_motor!$L$586:$L$665&gt;$L640))+(SUMPRODUCT(_motor!$B$586:$B$665*(_motor!$L$586:$L$665=$L640))+1)/2)</f>
        <v/>
      </c>
    </row>
    <row r="641" spans="1:16" x14ac:dyDescent="0.2">
      <c r="A641">
        <f>'02 · Variables'!$B$62</f>
        <v>0</v>
      </c>
      <c r="B641">
        <f>IF('02 · Variables'!$C$62&lt;&gt;"",1,0)</f>
        <v>0</v>
      </c>
      <c r="C641">
        <f>SUM(_motor!$A$66:$CB$66)</f>
        <v>0</v>
      </c>
      <c r="D641">
        <f>SUM(_motor!BD$11:BD$90)</f>
        <v>0</v>
      </c>
      <c r="E641">
        <f>SUM(_motor!$A$312:$CB$312)</f>
        <v>0</v>
      </c>
      <c r="F641">
        <f>SUM(_motor!BD$257:BD$336)</f>
        <v>0</v>
      </c>
      <c r="G641">
        <f>SUM(_motor!$A$148:$CB$148)</f>
        <v>0</v>
      </c>
      <c r="H641">
        <f>SUM(_motor!BD$93:BD$172)</f>
        <v>0</v>
      </c>
      <c r="I641">
        <f>SUM(_motor!$A$558:$CB$558)</f>
        <v>0</v>
      </c>
      <c r="J641">
        <f>SUM(_motor!BD$503:BD$582)</f>
        <v>0</v>
      </c>
      <c r="K641">
        <f>SUM(_motor!$A$230:$CB$230)</f>
        <v>0</v>
      </c>
      <c r="L641">
        <f>SUM(_motor!$A$394:$CB$394)</f>
        <v>0</v>
      </c>
      <c r="M641" t="str">
        <f>IF($B641=0,"",SUMPRODUCT(_motor!$B$586:$B$665*(_motor!$C$586:$C$665&gt;$C641))+(SUMPRODUCT(_motor!$B$586:$B$665*(_motor!$C$586:$C$665=$C641))+1)/2)</f>
        <v/>
      </c>
      <c r="N641" t="str">
        <f>IF($B641=0,"",SUMPRODUCT(_motor!$B$586:$B$665*(_motor!$K$586:$K$665&gt;$K641))+(SUMPRODUCT(_motor!$B$586:$B$665*(_motor!$K$586:$K$665=$K641))+1)/2)</f>
        <v/>
      </c>
      <c r="O641" t="str">
        <f>IF($B641=0,"",SUMPRODUCT(_motor!$B$586:$B$665*(_motor!$E$586:$E$665&gt;$E641))+(SUMPRODUCT(_motor!$B$586:$B$665*(_motor!$E$586:$E$665=$E641))+1)/2)</f>
        <v/>
      </c>
      <c r="P641" t="str">
        <f>IF($B641=0,"",SUMPRODUCT(_motor!$B$586:$B$665*(_motor!$L$586:$L$665&gt;$L641))+(SUMPRODUCT(_motor!$B$586:$B$665*(_motor!$L$586:$L$665=$L641))+1)/2)</f>
        <v/>
      </c>
    </row>
    <row r="642" spans="1:16" x14ac:dyDescent="0.2">
      <c r="A642">
        <f>'02 · Variables'!$B$63</f>
        <v>0</v>
      </c>
      <c r="B642">
        <f>IF('02 · Variables'!$C$63&lt;&gt;"",1,0)</f>
        <v>0</v>
      </c>
      <c r="C642">
        <f>SUM(_motor!$A$67:$CB$67)</f>
        <v>0</v>
      </c>
      <c r="D642">
        <f>SUM(_motor!BE$11:BE$90)</f>
        <v>0</v>
      </c>
      <c r="E642">
        <f>SUM(_motor!$A$313:$CB$313)</f>
        <v>0</v>
      </c>
      <c r="F642">
        <f>SUM(_motor!BE$257:BE$336)</f>
        <v>0</v>
      </c>
      <c r="G642">
        <f>SUM(_motor!$A$149:$CB$149)</f>
        <v>0</v>
      </c>
      <c r="H642">
        <f>SUM(_motor!BE$93:BE$172)</f>
        <v>0</v>
      </c>
      <c r="I642">
        <f>SUM(_motor!$A$559:$CB$559)</f>
        <v>0</v>
      </c>
      <c r="J642">
        <f>SUM(_motor!BE$503:BE$582)</f>
        <v>0</v>
      </c>
      <c r="K642">
        <f>SUM(_motor!$A$231:$CB$231)</f>
        <v>0</v>
      </c>
      <c r="L642">
        <f>SUM(_motor!$A$395:$CB$395)</f>
        <v>0</v>
      </c>
      <c r="M642" t="str">
        <f>IF($B642=0,"",SUMPRODUCT(_motor!$B$586:$B$665*(_motor!$C$586:$C$665&gt;$C642))+(SUMPRODUCT(_motor!$B$586:$B$665*(_motor!$C$586:$C$665=$C642))+1)/2)</f>
        <v/>
      </c>
      <c r="N642" t="str">
        <f>IF($B642=0,"",SUMPRODUCT(_motor!$B$586:$B$665*(_motor!$K$586:$K$665&gt;$K642))+(SUMPRODUCT(_motor!$B$586:$B$665*(_motor!$K$586:$K$665=$K642))+1)/2)</f>
        <v/>
      </c>
      <c r="O642" t="str">
        <f>IF($B642=0,"",SUMPRODUCT(_motor!$B$586:$B$665*(_motor!$E$586:$E$665&gt;$E642))+(SUMPRODUCT(_motor!$B$586:$B$665*(_motor!$E$586:$E$665=$E642))+1)/2)</f>
        <v/>
      </c>
      <c r="P642" t="str">
        <f>IF($B642=0,"",SUMPRODUCT(_motor!$B$586:$B$665*(_motor!$L$586:$L$665&gt;$L642))+(SUMPRODUCT(_motor!$B$586:$B$665*(_motor!$L$586:$L$665=$L642))+1)/2)</f>
        <v/>
      </c>
    </row>
    <row r="643" spans="1:16" x14ac:dyDescent="0.2">
      <c r="A643">
        <f>'02 · Variables'!$B$64</f>
        <v>0</v>
      </c>
      <c r="B643">
        <f>IF('02 · Variables'!$C$64&lt;&gt;"",1,0)</f>
        <v>0</v>
      </c>
      <c r="C643">
        <f>SUM(_motor!$A$68:$CB$68)</f>
        <v>0</v>
      </c>
      <c r="D643">
        <f>SUM(_motor!BF$11:BF$90)</f>
        <v>0</v>
      </c>
      <c r="E643">
        <f>SUM(_motor!$A$314:$CB$314)</f>
        <v>0</v>
      </c>
      <c r="F643">
        <f>SUM(_motor!BF$257:BF$336)</f>
        <v>0</v>
      </c>
      <c r="G643">
        <f>SUM(_motor!$A$150:$CB$150)</f>
        <v>0</v>
      </c>
      <c r="H643">
        <f>SUM(_motor!BF$93:BF$172)</f>
        <v>0</v>
      </c>
      <c r="I643">
        <f>SUM(_motor!$A$560:$CB$560)</f>
        <v>0</v>
      </c>
      <c r="J643">
        <f>SUM(_motor!BF$503:BF$582)</f>
        <v>0</v>
      </c>
      <c r="K643">
        <f>SUM(_motor!$A$232:$CB$232)</f>
        <v>0</v>
      </c>
      <c r="L643">
        <f>SUM(_motor!$A$396:$CB$396)</f>
        <v>0</v>
      </c>
      <c r="M643" t="str">
        <f>IF($B643=0,"",SUMPRODUCT(_motor!$B$586:$B$665*(_motor!$C$586:$C$665&gt;$C643))+(SUMPRODUCT(_motor!$B$586:$B$665*(_motor!$C$586:$C$665=$C643))+1)/2)</f>
        <v/>
      </c>
      <c r="N643" t="str">
        <f>IF($B643=0,"",SUMPRODUCT(_motor!$B$586:$B$665*(_motor!$K$586:$K$665&gt;$K643))+(SUMPRODUCT(_motor!$B$586:$B$665*(_motor!$K$586:$K$665=$K643))+1)/2)</f>
        <v/>
      </c>
      <c r="O643" t="str">
        <f>IF($B643=0,"",SUMPRODUCT(_motor!$B$586:$B$665*(_motor!$E$586:$E$665&gt;$E643))+(SUMPRODUCT(_motor!$B$586:$B$665*(_motor!$E$586:$E$665=$E643))+1)/2)</f>
        <v/>
      </c>
      <c r="P643" t="str">
        <f>IF($B643=0,"",SUMPRODUCT(_motor!$B$586:$B$665*(_motor!$L$586:$L$665&gt;$L643))+(SUMPRODUCT(_motor!$B$586:$B$665*(_motor!$L$586:$L$665=$L643))+1)/2)</f>
        <v/>
      </c>
    </row>
    <row r="644" spans="1:16" x14ac:dyDescent="0.2">
      <c r="A644">
        <f>'02 · Variables'!$B$65</f>
        <v>0</v>
      </c>
      <c r="B644">
        <f>IF('02 · Variables'!$C$65&lt;&gt;"",1,0)</f>
        <v>0</v>
      </c>
      <c r="C644">
        <f>SUM(_motor!$A$69:$CB$69)</f>
        <v>0</v>
      </c>
      <c r="D644">
        <f>SUM(_motor!BG$11:BG$90)</f>
        <v>0</v>
      </c>
      <c r="E644">
        <f>SUM(_motor!$A$315:$CB$315)</f>
        <v>0</v>
      </c>
      <c r="F644">
        <f>SUM(_motor!BG$257:BG$336)</f>
        <v>0</v>
      </c>
      <c r="G644">
        <f>SUM(_motor!$A$151:$CB$151)</f>
        <v>0</v>
      </c>
      <c r="H644">
        <f>SUM(_motor!BG$93:BG$172)</f>
        <v>0</v>
      </c>
      <c r="I644">
        <f>SUM(_motor!$A$561:$CB$561)</f>
        <v>0</v>
      </c>
      <c r="J644">
        <f>SUM(_motor!BG$503:BG$582)</f>
        <v>0</v>
      </c>
      <c r="K644">
        <f>SUM(_motor!$A$233:$CB$233)</f>
        <v>0</v>
      </c>
      <c r="L644">
        <f>SUM(_motor!$A$397:$CB$397)</f>
        <v>0</v>
      </c>
      <c r="M644" t="str">
        <f>IF($B644=0,"",SUMPRODUCT(_motor!$B$586:$B$665*(_motor!$C$586:$C$665&gt;$C644))+(SUMPRODUCT(_motor!$B$586:$B$665*(_motor!$C$586:$C$665=$C644))+1)/2)</f>
        <v/>
      </c>
      <c r="N644" t="str">
        <f>IF($B644=0,"",SUMPRODUCT(_motor!$B$586:$B$665*(_motor!$K$586:$K$665&gt;$K644))+(SUMPRODUCT(_motor!$B$586:$B$665*(_motor!$K$586:$K$665=$K644))+1)/2)</f>
        <v/>
      </c>
      <c r="O644" t="str">
        <f>IF($B644=0,"",SUMPRODUCT(_motor!$B$586:$B$665*(_motor!$E$586:$E$665&gt;$E644))+(SUMPRODUCT(_motor!$B$586:$B$665*(_motor!$E$586:$E$665=$E644))+1)/2)</f>
        <v/>
      </c>
      <c r="P644" t="str">
        <f>IF($B644=0,"",SUMPRODUCT(_motor!$B$586:$B$665*(_motor!$L$586:$L$665&gt;$L644))+(SUMPRODUCT(_motor!$B$586:$B$665*(_motor!$L$586:$L$665=$L644))+1)/2)</f>
        <v/>
      </c>
    </row>
    <row r="645" spans="1:16" x14ac:dyDescent="0.2">
      <c r="A645">
        <f>'02 · Variables'!$B$66</f>
        <v>0</v>
      </c>
      <c r="B645">
        <f>IF('02 · Variables'!$C$66&lt;&gt;"",1,0)</f>
        <v>0</v>
      </c>
      <c r="C645">
        <f>SUM(_motor!$A$70:$CB$70)</f>
        <v>0</v>
      </c>
      <c r="D645">
        <f>SUM(_motor!BH$11:BH$90)</f>
        <v>0</v>
      </c>
      <c r="E645">
        <f>SUM(_motor!$A$316:$CB$316)</f>
        <v>0</v>
      </c>
      <c r="F645">
        <f>SUM(_motor!BH$257:BH$336)</f>
        <v>0</v>
      </c>
      <c r="G645">
        <f>SUM(_motor!$A$152:$CB$152)</f>
        <v>0</v>
      </c>
      <c r="H645">
        <f>SUM(_motor!BH$93:BH$172)</f>
        <v>0</v>
      </c>
      <c r="I645">
        <f>SUM(_motor!$A$562:$CB$562)</f>
        <v>0</v>
      </c>
      <c r="J645">
        <f>SUM(_motor!BH$503:BH$582)</f>
        <v>0</v>
      </c>
      <c r="K645">
        <f>SUM(_motor!$A$234:$CB$234)</f>
        <v>0</v>
      </c>
      <c r="L645">
        <f>SUM(_motor!$A$398:$CB$398)</f>
        <v>0</v>
      </c>
      <c r="M645" t="str">
        <f>IF($B645=0,"",SUMPRODUCT(_motor!$B$586:$B$665*(_motor!$C$586:$C$665&gt;$C645))+(SUMPRODUCT(_motor!$B$586:$B$665*(_motor!$C$586:$C$665=$C645))+1)/2)</f>
        <v/>
      </c>
      <c r="N645" t="str">
        <f>IF($B645=0,"",SUMPRODUCT(_motor!$B$586:$B$665*(_motor!$K$586:$K$665&gt;$K645))+(SUMPRODUCT(_motor!$B$586:$B$665*(_motor!$K$586:$K$665=$K645))+1)/2)</f>
        <v/>
      </c>
      <c r="O645" t="str">
        <f>IF($B645=0,"",SUMPRODUCT(_motor!$B$586:$B$665*(_motor!$E$586:$E$665&gt;$E645))+(SUMPRODUCT(_motor!$B$586:$B$665*(_motor!$E$586:$E$665=$E645))+1)/2)</f>
        <v/>
      </c>
      <c r="P645" t="str">
        <f>IF($B645=0,"",SUMPRODUCT(_motor!$B$586:$B$665*(_motor!$L$586:$L$665&gt;$L645))+(SUMPRODUCT(_motor!$B$586:$B$665*(_motor!$L$586:$L$665=$L645))+1)/2)</f>
        <v/>
      </c>
    </row>
    <row r="646" spans="1:16" x14ac:dyDescent="0.2">
      <c r="A646">
        <f>'02 · Variables'!$B$67</f>
        <v>0</v>
      </c>
      <c r="B646">
        <f>IF('02 · Variables'!$C$67&lt;&gt;"",1,0)</f>
        <v>0</v>
      </c>
      <c r="C646">
        <f>SUM(_motor!$A$71:$CB$71)</f>
        <v>0</v>
      </c>
      <c r="D646">
        <f>SUM(_motor!BI$11:BI$90)</f>
        <v>0</v>
      </c>
      <c r="E646">
        <f>SUM(_motor!$A$317:$CB$317)</f>
        <v>0</v>
      </c>
      <c r="F646">
        <f>SUM(_motor!BI$257:BI$336)</f>
        <v>0</v>
      </c>
      <c r="G646">
        <f>SUM(_motor!$A$153:$CB$153)</f>
        <v>0</v>
      </c>
      <c r="H646">
        <f>SUM(_motor!BI$93:BI$172)</f>
        <v>0</v>
      </c>
      <c r="I646">
        <f>SUM(_motor!$A$563:$CB$563)</f>
        <v>0</v>
      </c>
      <c r="J646">
        <f>SUM(_motor!BI$503:BI$582)</f>
        <v>0</v>
      </c>
      <c r="K646">
        <f>SUM(_motor!$A$235:$CB$235)</f>
        <v>0</v>
      </c>
      <c r="L646">
        <f>SUM(_motor!$A$399:$CB$399)</f>
        <v>0</v>
      </c>
      <c r="M646" t="str">
        <f>IF($B646=0,"",SUMPRODUCT(_motor!$B$586:$B$665*(_motor!$C$586:$C$665&gt;$C646))+(SUMPRODUCT(_motor!$B$586:$B$665*(_motor!$C$586:$C$665=$C646))+1)/2)</f>
        <v/>
      </c>
      <c r="N646" t="str">
        <f>IF($B646=0,"",SUMPRODUCT(_motor!$B$586:$B$665*(_motor!$K$586:$K$665&gt;$K646))+(SUMPRODUCT(_motor!$B$586:$B$665*(_motor!$K$586:$K$665=$K646))+1)/2)</f>
        <v/>
      </c>
      <c r="O646" t="str">
        <f>IF($B646=0,"",SUMPRODUCT(_motor!$B$586:$B$665*(_motor!$E$586:$E$665&gt;$E646))+(SUMPRODUCT(_motor!$B$586:$B$665*(_motor!$E$586:$E$665=$E646))+1)/2)</f>
        <v/>
      </c>
      <c r="P646" t="str">
        <f>IF($B646=0,"",SUMPRODUCT(_motor!$B$586:$B$665*(_motor!$L$586:$L$665&gt;$L646))+(SUMPRODUCT(_motor!$B$586:$B$665*(_motor!$L$586:$L$665=$L646))+1)/2)</f>
        <v/>
      </c>
    </row>
    <row r="647" spans="1:16" x14ac:dyDescent="0.2">
      <c r="A647">
        <f>'02 · Variables'!$B$68</f>
        <v>0</v>
      </c>
      <c r="B647">
        <f>IF('02 · Variables'!$C$68&lt;&gt;"",1,0)</f>
        <v>0</v>
      </c>
      <c r="C647">
        <f>SUM(_motor!$A$72:$CB$72)</f>
        <v>0</v>
      </c>
      <c r="D647">
        <f>SUM(_motor!BJ$11:BJ$90)</f>
        <v>0</v>
      </c>
      <c r="E647">
        <f>SUM(_motor!$A$318:$CB$318)</f>
        <v>0</v>
      </c>
      <c r="F647">
        <f>SUM(_motor!BJ$257:BJ$336)</f>
        <v>0</v>
      </c>
      <c r="G647">
        <f>SUM(_motor!$A$154:$CB$154)</f>
        <v>0</v>
      </c>
      <c r="H647">
        <f>SUM(_motor!BJ$93:BJ$172)</f>
        <v>0</v>
      </c>
      <c r="I647">
        <f>SUM(_motor!$A$564:$CB$564)</f>
        <v>0</v>
      </c>
      <c r="J647">
        <f>SUM(_motor!BJ$503:BJ$582)</f>
        <v>0</v>
      </c>
      <c r="K647">
        <f>SUM(_motor!$A$236:$CB$236)</f>
        <v>0</v>
      </c>
      <c r="L647">
        <f>SUM(_motor!$A$400:$CB$400)</f>
        <v>0</v>
      </c>
      <c r="M647" t="str">
        <f>IF($B647=0,"",SUMPRODUCT(_motor!$B$586:$B$665*(_motor!$C$586:$C$665&gt;$C647))+(SUMPRODUCT(_motor!$B$586:$B$665*(_motor!$C$586:$C$665=$C647))+1)/2)</f>
        <v/>
      </c>
      <c r="N647" t="str">
        <f>IF($B647=0,"",SUMPRODUCT(_motor!$B$586:$B$665*(_motor!$K$586:$K$665&gt;$K647))+(SUMPRODUCT(_motor!$B$586:$B$665*(_motor!$K$586:$K$665=$K647))+1)/2)</f>
        <v/>
      </c>
      <c r="O647" t="str">
        <f>IF($B647=0,"",SUMPRODUCT(_motor!$B$586:$B$665*(_motor!$E$586:$E$665&gt;$E647))+(SUMPRODUCT(_motor!$B$586:$B$665*(_motor!$E$586:$E$665=$E647))+1)/2)</f>
        <v/>
      </c>
      <c r="P647" t="str">
        <f>IF($B647=0,"",SUMPRODUCT(_motor!$B$586:$B$665*(_motor!$L$586:$L$665&gt;$L647))+(SUMPRODUCT(_motor!$B$586:$B$665*(_motor!$L$586:$L$665=$L647))+1)/2)</f>
        <v/>
      </c>
    </row>
    <row r="648" spans="1:16" x14ac:dyDescent="0.2">
      <c r="A648">
        <f>'02 · Variables'!$B$69</f>
        <v>0</v>
      </c>
      <c r="B648">
        <f>IF('02 · Variables'!$C$69&lt;&gt;"",1,0)</f>
        <v>0</v>
      </c>
      <c r="C648">
        <f>SUM(_motor!$A$73:$CB$73)</f>
        <v>0</v>
      </c>
      <c r="D648">
        <f>SUM(_motor!BK$11:BK$90)</f>
        <v>0</v>
      </c>
      <c r="E648">
        <f>SUM(_motor!$A$319:$CB$319)</f>
        <v>0</v>
      </c>
      <c r="F648">
        <f>SUM(_motor!BK$257:BK$336)</f>
        <v>0</v>
      </c>
      <c r="G648">
        <f>SUM(_motor!$A$155:$CB$155)</f>
        <v>0</v>
      </c>
      <c r="H648">
        <f>SUM(_motor!BK$93:BK$172)</f>
        <v>0</v>
      </c>
      <c r="I648">
        <f>SUM(_motor!$A$565:$CB$565)</f>
        <v>0</v>
      </c>
      <c r="J648">
        <f>SUM(_motor!BK$503:BK$582)</f>
        <v>0</v>
      </c>
      <c r="K648">
        <f>SUM(_motor!$A$237:$CB$237)</f>
        <v>0</v>
      </c>
      <c r="L648">
        <f>SUM(_motor!$A$401:$CB$401)</f>
        <v>0</v>
      </c>
      <c r="M648" t="str">
        <f>IF($B648=0,"",SUMPRODUCT(_motor!$B$586:$B$665*(_motor!$C$586:$C$665&gt;$C648))+(SUMPRODUCT(_motor!$B$586:$B$665*(_motor!$C$586:$C$665=$C648))+1)/2)</f>
        <v/>
      </c>
      <c r="N648" t="str">
        <f>IF($B648=0,"",SUMPRODUCT(_motor!$B$586:$B$665*(_motor!$K$586:$K$665&gt;$K648))+(SUMPRODUCT(_motor!$B$586:$B$665*(_motor!$K$586:$K$665=$K648))+1)/2)</f>
        <v/>
      </c>
      <c r="O648" t="str">
        <f>IF($B648=0,"",SUMPRODUCT(_motor!$B$586:$B$665*(_motor!$E$586:$E$665&gt;$E648))+(SUMPRODUCT(_motor!$B$586:$B$665*(_motor!$E$586:$E$665=$E648))+1)/2)</f>
        <v/>
      </c>
      <c r="P648" t="str">
        <f>IF($B648=0,"",SUMPRODUCT(_motor!$B$586:$B$665*(_motor!$L$586:$L$665&gt;$L648))+(SUMPRODUCT(_motor!$B$586:$B$665*(_motor!$L$586:$L$665=$L648))+1)/2)</f>
        <v/>
      </c>
    </row>
    <row r="649" spans="1:16" x14ac:dyDescent="0.2">
      <c r="A649">
        <f>'02 · Variables'!$B$70</f>
        <v>0</v>
      </c>
      <c r="B649">
        <f>IF('02 · Variables'!$C$70&lt;&gt;"",1,0)</f>
        <v>0</v>
      </c>
      <c r="C649">
        <f>SUM(_motor!$A$74:$CB$74)</f>
        <v>0</v>
      </c>
      <c r="D649">
        <f>SUM(_motor!BL$11:BL$90)</f>
        <v>0</v>
      </c>
      <c r="E649">
        <f>SUM(_motor!$A$320:$CB$320)</f>
        <v>0</v>
      </c>
      <c r="F649">
        <f>SUM(_motor!BL$257:BL$336)</f>
        <v>0</v>
      </c>
      <c r="G649">
        <f>SUM(_motor!$A$156:$CB$156)</f>
        <v>0</v>
      </c>
      <c r="H649">
        <f>SUM(_motor!BL$93:BL$172)</f>
        <v>0</v>
      </c>
      <c r="I649">
        <f>SUM(_motor!$A$566:$CB$566)</f>
        <v>0</v>
      </c>
      <c r="J649">
        <f>SUM(_motor!BL$503:BL$582)</f>
        <v>0</v>
      </c>
      <c r="K649">
        <f>SUM(_motor!$A$238:$CB$238)</f>
        <v>0</v>
      </c>
      <c r="L649">
        <f>SUM(_motor!$A$402:$CB$402)</f>
        <v>0</v>
      </c>
      <c r="M649" t="str">
        <f>IF($B649=0,"",SUMPRODUCT(_motor!$B$586:$B$665*(_motor!$C$586:$C$665&gt;$C649))+(SUMPRODUCT(_motor!$B$586:$B$665*(_motor!$C$586:$C$665=$C649))+1)/2)</f>
        <v/>
      </c>
      <c r="N649" t="str">
        <f>IF($B649=0,"",SUMPRODUCT(_motor!$B$586:$B$665*(_motor!$K$586:$K$665&gt;$K649))+(SUMPRODUCT(_motor!$B$586:$B$665*(_motor!$K$586:$K$665=$K649))+1)/2)</f>
        <v/>
      </c>
      <c r="O649" t="str">
        <f>IF($B649=0,"",SUMPRODUCT(_motor!$B$586:$B$665*(_motor!$E$586:$E$665&gt;$E649))+(SUMPRODUCT(_motor!$B$586:$B$665*(_motor!$E$586:$E$665=$E649))+1)/2)</f>
        <v/>
      </c>
      <c r="P649" t="str">
        <f>IF($B649=0,"",SUMPRODUCT(_motor!$B$586:$B$665*(_motor!$L$586:$L$665&gt;$L649))+(SUMPRODUCT(_motor!$B$586:$B$665*(_motor!$L$586:$L$665=$L649))+1)/2)</f>
        <v/>
      </c>
    </row>
    <row r="650" spans="1:16" x14ac:dyDescent="0.2">
      <c r="A650">
        <f>'02 · Variables'!$B$71</f>
        <v>0</v>
      </c>
      <c r="B650">
        <f>IF('02 · Variables'!$C$71&lt;&gt;"",1,0)</f>
        <v>0</v>
      </c>
      <c r="C650">
        <f>SUM(_motor!$A$75:$CB$75)</f>
        <v>0</v>
      </c>
      <c r="D650">
        <f>SUM(_motor!BM$11:BM$90)</f>
        <v>0</v>
      </c>
      <c r="E650">
        <f>SUM(_motor!$A$321:$CB$321)</f>
        <v>0</v>
      </c>
      <c r="F650">
        <f>SUM(_motor!BM$257:BM$336)</f>
        <v>0</v>
      </c>
      <c r="G650">
        <f>SUM(_motor!$A$157:$CB$157)</f>
        <v>0</v>
      </c>
      <c r="H650">
        <f>SUM(_motor!BM$93:BM$172)</f>
        <v>0</v>
      </c>
      <c r="I650">
        <f>SUM(_motor!$A$567:$CB$567)</f>
        <v>0</v>
      </c>
      <c r="J650">
        <f>SUM(_motor!BM$503:BM$582)</f>
        <v>0</v>
      </c>
      <c r="K650">
        <f>SUM(_motor!$A$239:$CB$239)</f>
        <v>0</v>
      </c>
      <c r="L650">
        <f>SUM(_motor!$A$403:$CB$403)</f>
        <v>0</v>
      </c>
      <c r="M650" t="str">
        <f>IF($B650=0,"",SUMPRODUCT(_motor!$B$586:$B$665*(_motor!$C$586:$C$665&gt;$C650))+(SUMPRODUCT(_motor!$B$586:$B$665*(_motor!$C$586:$C$665=$C650))+1)/2)</f>
        <v/>
      </c>
      <c r="N650" t="str">
        <f>IF($B650=0,"",SUMPRODUCT(_motor!$B$586:$B$665*(_motor!$K$586:$K$665&gt;$K650))+(SUMPRODUCT(_motor!$B$586:$B$665*(_motor!$K$586:$K$665=$K650))+1)/2)</f>
        <v/>
      </c>
      <c r="O650" t="str">
        <f>IF($B650=0,"",SUMPRODUCT(_motor!$B$586:$B$665*(_motor!$E$586:$E$665&gt;$E650))+(SUMPRODUCT(_motor!$B$586:$B$665*(_motor!$E$586:$E$665=$E650))+1)/2)</f>
        <v/>
      </c>
      <c r="P650" t="str">
        <f>IF($B650=0,"",SUMPRODUCT(_motor!$B$586:$B$665*(_motor!$L$586:$L$665&gt;$L650))+(SUMPRODUCT(_motor!$B$586:$B$665*(_motor!$L$586:$L$665=$L650))+1)/2)</f>
        <v/>
      </c>
    </row>
    <row r="651" spans="1:16" x14ac:dyDescent="0.2">
      <c r="A651">
        <f>'02 · Variables'!$B$72</f>
        <v>0</v>
      </c>
      <c r="B651">
        <f>IF('02 · Variables'!$C$72&lt;&gt;"",1,0)</f>
        <v>0</v>
      </c>
      <c r="C651">
        <f>SUM(_motor!$A$76:$CB$76)</f>
        <v>0</v>
      </c>
      <c r="D651">
        <f>SUM(_motor!BN$11:BN$90)</f>
        <v>0</v>
      </c>
      <c r="E651">
        <f>SUM(_motor!$A$322:$CB$322)</f>
        <v>0</v>
      </c>
      <c r="F651">
        <f>SUM(_motor!BN$257:BN$336)</f>
        <v>0</v>
      </c>
      <c r="G651">
        <f>SUM(_motor!$A$158:$CB$158)</f>
        <v>0</v>
      </c>
      <c r="H651">
        <f>SUM(_motor!BN$93:BN$172)</f>
        <v>0</v>
      </c>
      <c r="I651">
        <f>SUM(_motor!$A$568:$CB$568)</f>
        <v>0</v>
      </c>
      <c r="J651">
        <f>SUM(_motor!BN$503:BN$582)</f>
        <v>0</v>
      </c>
      <c r="K651">
        <f>SUM(_motor!$A$240:$CB$240)</f>
        <v>0</v>
      </c>
      <c r="L651">
        <f>SUM(_motor!$A$404:$CB$404)</f>
        <v>0</v>
      </c>
      <c r="M651" t="str">
        <f>IF($B651=0,"",SUMPRODUCT(_motor!$B$586:$B$665*(_motor!$C$586:$C$665&gt;$C651))+(SUMPRODUCT(_motor!$B$586:$B$665*(_motor!$C$586:$C$665=$C651))+1)/2)</f>
        <v/>
      </c>
      <c r="N651" t="str">
        <f>IF($B651=0,"",SUMPRODUCT(_motor!$B$586:$B$665*(_motor!$K$586:$K$665&gt;$K651))+(SUMPRODUCT(_motor!$B$586:$B$665*(_motor!$K$586:$K$665=$K651))+1)/2)</f>
        <v/>
      </c>
      <c r="O651" t="str">
        <f>IF($B651=0,"",SUMPRODUCT(_motor!$B$586:$B$665*(_motor!$E$586:$E$665&gt;$E651))+(SUMPRODUCT(_motor!$B$586:$B$665*(_motor!$E$586:$E$665=$E651))+1)/2)</f>
        <v/>
      </c>
      <c r="P651" t="str">
        <f>IF($B651=0,"",SUMPRODUCT(_motor!$B$586:$B$665*(_motor!$L$586:$L$665&gt;$L651))+(SUMPRODUCT(_motor!$B$586:$B$665*(_motor!$L$586:$L$665=$L651))+1)/2)</f>
        <v/>
      </c>
    </row>
    <row r="652" spans="1:16" x14ac:dyDescent="0.2">
      <c r="A652">
        <f>'02 · Variables'!$B$73</f>
        <v>0</v>
      </c>
      <c r="B652">
        <f>IF('02 · Variables'!$C$73&lt;&gt;"",1,0)</f>
        <v>0</v>
      </c>
      <c r="C652">
        <f>SUM(_motor!$A$77:$CB$77)</f>
        <v>0</v>
      </c>
      <c r="D652">
        <f>SUM(_motor!BO$11:BO$90)</f>
        <v>0</v>
      </c>
      <c r="E652">
        <f>SUM(_motor!$A$323:$CB$323)</f>
        <v>0</v>
      </c>
      <c r="F652">
        <f>SUM(_motor!BO$257:BO$336)</f>
        <v>0</v>
      </c>
      <c r="G652">
        <f>SUM(_motor!$A$159:$CB$159)</f>
        <v>0</v>
      </c>
      <c r="H652">
        <f>SUM(_motor!BO$93:BO$172)</f>
        <v>0</v>
      </c>
      <c r="I652">
        <f>SUM(_motor!$A$569:$CB$569)</f>
        <v>0</v>
      </c>
      <c r="J652">
        <f>SUM(_motor!BO$503:BO$582)</f>
        <v>0</v>
      </c>
      <c r="K652">
        <f>SUM(_motor!$A$241:$CB$241)</f>
        <v>0</v>
      </c>
      <c r="L652">
        <f>SUM(_motor!$A$405:$CB$405)</f>
        <v>0</v>
      </c>
      <c r="M652" t="str">
        <f>IF($B652=0,"",SUMPRODUCT(_motor!$B$586:$B$665*(_motor!$C$586:$C$665&gt;$C652))+(SUMPRODUCT(_motor!$B$586:$B$665*(_motor!$C$586:$C$665=$C652))+1)/2)</f>
        <v/>
      </c>
      <c r="N652" t="str">
        <f>IF($B652=0,"",SUMPRODUCT(_motor!$B$586:$B$665*(_motor!$K$586:$K$665&gt;$K652))+(SUMPRODUCT(_motor!$B$586:$B$665*(_motor!$K$586:$K$665=$K652))+1)/2)</f>
        <v/>
      </c>
      <c r="O652" t="str">
        <f>IF($B652=0,"",SUMPRODUCT(_motor!$B$586:$B$665*(_motor!$E$586:$E$665&gt;$E652))+(SUMPRODUCT(_motor!$B$586:$B$665*(_motor!$E$586:$E$665=$E652))+1)/2)</f>
        <v/>
      </c>
      <c r="P652" t="str">
        <f>IF($B652=0,"",SUMPRODUCT(_motor!$B$586:$B$665*(_motor!$L$586:$L$665&gt;$L652))+(SUMPRODUCT(_motor!$B$586:$B$665*(_motor!$L$586:$L$665=$L652))+1)/2)</f>
        <v/>
      </c>
    </row>
    <row r="653" spans="1:16" x14ac:dyDescent="0.2">
      <c r="A653">
        <f>'02 · Variables'!$B$74</f>
        <v>0</v>
      </c>
      <c r="B653">
        <f>IF('02 · Variables'!$C$74&lt;&gt;"",1,0)</f>
        <v>0</v>
      </c>
      <c r="C653">
        <f>SUM(_motor!$A$78:$CB$78)</f>
        <v>0</v>
      </c>
      <c r="D653">
        <f>SUM(_motor!BP$11:BP$90)</f>
        <v>0</v>
      </c>
      <c r="E653">
        <f>SUM(_motor!$A$324:$CB$324)</f>
        <v>0</v>
      </c>
      <c r="F653">
        <f>SUM(_motor!BP$257:BP$336)</f>
        <v>0</v>
      </c>
      <c r="G653">
        <f>SUM(_motor!$A$160:$CB$160)</f>
        <v>0</v>
      </c>
      <c r="H653">
        <f>SUM(_motor!BP$93:BP$172)</f>
        <v>0</v>
      </c>
      <c r="I653">
        <f>SUM(_motor!$A$570:$CB$570)</f>
        <v>0</v>
      </c>
      <c r="J653">
        <f>SUM(_motor!BP$503:BP$582)</f>
        <v>0</v>
      </c>
      <c r="K653">
        <f>SUM(_motor!$A$242:$CB$242)</f>
        <v>0</v>
      </c>
      <c r="L653">
        <f>SUM(_motor!$A$406:$CB$406)</f>
        <v>0</v>
      </c>
      <c r="M653" t="str">
        <f>IF($B653=0,"",SUMPRODUCT(_motor!$B$586:$B$665*(_motor!$C$586:$C$665&gt;$C653))+(SUMPRODUCT(_motor!$B$586:$B$665*(_motor!$C$586:$C$665=$C653))+1)/2)</f>
        <v/>
      </c>
      <c r="N653" t="str">
        <f>IF($B653=0,"",SUMPRODUCT(_motor!$B$586:$B$665*(_motor!$K$586:$K$665&gt;$K653))+(SUMPRODUCT(_motor!$B$586:$B$665*(_motor!$K$586:$K$665=$K653))+1)/2)</f>
        <v/>
      </c>
      <c r="O653" t="str">
        <f>IF($B653=0,"",SUMPRODUCT(_motor!$B$586:$B$665*(_motor!$E$586:$E$665&gt;$E653))+(SUMPRODUCT(_motor!$B$586:$B$665*(_motor!$E$586:$E$665=$E653))+1)/2)</f>
        <v/>
      </c>
      <c r="P653" t="str">
        <f>IF($B653=0,"",SUMPRODUCT(_motor!$B$586:$B$665*(_motor!$L$586:$L$665&gt;$L653))+(SUMPRODUCT(_motor!$B$586:$B$665*(_motor!$L$586:$L$665=$L653))+1)/2)</f>
        <v/>
      </c>
    </row>
    <row r="654" spans="1:16" x14ac:dyDescent="0.2">
      <c r="A654">
        <f>'02 · Variables'!$B$75</f>
        <v>0</v>
      </c>
      <c r="B654">
        <f>IF('02 · Variables'!$C$75&lt;&gt;"",1,0)</f>
        <v>0</v>
      </c>
      <c r="C654">
        <f>SUM(_motor!$A$79:$CB$79)</f>
        <v>0</v>
      </c>
      <c r="D654">
        <f>SUM(_motor!BQ$11:BQ$90)</f>
        <v>0</v>
      </c>
      <c r="E654">
        <f>SUM(_motor!$A$325:$CB$325)</f>
        <v>0</v>
      </c>
      <c r="F654">
        <f>SUM(_motor!BQ$257:BQ$336)</f>
        <v>0</v>
      </c>
      <c r="G654">
        <f>SUM(_motor!$A$161:$CB$161)</f>
        <v>0</v>
      </c>
      <c r="H654">
        <f>SUM(_motor!BQ$93:BQ$172)</f>
        <v>0</v>
      </c>
      <c r="I654">
        <f>SUM(_motor!$A$571:$CB$571)</f>
        <v>0</v>
      </c>
      <c r="J654">
        <f>SUM(_motor!BQ$503:BQ$582)</f>
        <v>0</v>
      </c>
      <c r="K654">
        <f>SUM(_motor!$A$243:$CB$243)</f>
        <v>0</v>
      </c>
      <c r="L654">
        <f>SUM(_motor!$A$407:$CB$407)</f>
        <v>0</v>
      </c>
      <c r="M654" t="str">
        <f>IF($B654=0,"",SUMPRODUCT(_motor!$B$586:$B$665*(_motor!$C$586:$C$665&gt;$C654))+(SUMPRODUCT(_motor!$B$586:$B$665*(_motor!$C$586:$C$665=$C654))+1)/2)</f>
        <v/>
      </c>
      <c r="N654" t="str">
        <f>IF($B654=0,"",SUMPRODUCT(_motor!$B$586:$B$665*(_motor!$K$586:$K$665&gt;$K654))+(SUMPRODUCT(_motor!$B$586:$B$665*(_motor!$K$586:$K$665=$K654))+1)/2)</f>
        <v/>
      </c>
      <c r="O654" t="str">
        <f>IF($B654=0,"",SUMPRODUCT(_motor!$B$586:$B$665*(_motor!$E$586:$E$665&gt;$E654))+(SUMPRODUCT(_motor!$B$586:$B$665*(_motor!$E$586:$E$665=$E654))+1)/2)</f>
        <v/>
      </c>
      <c r="P654" t="str">
        <f>IF($B654=0,"",SUMPRODUCT(_motor!$B$586:$B$665*(_motor!$L$586:$L$665&gt;$L654))+(SUMPRODUCT(_motor!$B$586:$B$665*(_motor!$L$586:$L$665=$L654))+1)/2)</f>
        <v/>
      </c>
    </row>
    <row r="655" spans="1:16" x14ac:dyDescent="0.2">
      <c r="A655">
        <f>'02 · Variables'!$B$76</f>
        <v>0</v>
      </c>
      <c r="B655">
        <f>IF('02 · Variables'!$C$76&lt;&gt;"",1,0)</f>
        <v>0</v>
      </c>
      <c r="C655">
        <f>SUM(_motor!$A$80:$CB$80)</f>
        <v>0</v>
      </c>
      <c r="D655">
        <f>SUM(_motor!BR$11:BR$90)</f>
        <v>0</v>
      </c>
      <c r="E655">
        <f>SUM(_motor!$A$326:$CB$326)</f>
        <v>0</v>
      </c>
      <c r="F655">
        <f>SUM(_motor!BR$257:BR$336)</f>
        <v>0</v>
      </c>
      <c r="G655">
        <f>SUM(_motor!$A$162:$CB$162)</f>
        <v>0</v>
      </c>
      <c r="H655">
        <f>SUM(_motor!BR$93:BR$172)</f>
        <v>0</v>
      </c>
      <c r="I655">
        <f>SUM(_motor!$A$572:$CB$572)</f>
        <v>0</v>
      </c>
      <c r="J655">
        <f>SUM(_motor!BR$503:BR$582)</f>
        <v>0</v>
      </c>
      <c r="K655">
        <f>SUM(_motor!$A$244:$CB$244)</f>
        <v>0</v>
      </c>
      <c r="L655">
        <f>SUM(_motor!$A$408:$CB$408)</f>
        <v>0</v>
      </c>
      <c r="M655" t="str">
        <f>IF($B655=0,"",SUMPRODUCT(_motor!$B$586:$B$665*(_motor!$C$586:$C$665&gt;$C655))+(SUMPRODUCT(_motor!$B$586:$B$665*(_motor!$C$586:$C$665=$C655))+1)/2)</f>
        <v/>
      </c>
      <c r="N655" t="str">
        <f>IF($B655=0,"",SUMPRODUCT(_motor!$B$586:$B$665*(_motor!$K$586:$K$665&gt;$K655))+(SUMPRODUCT(_motor!$B$586:$B$665*(_motor!$K$586:$K$665=$K655))+1)/2)</f>
        <v/>
      </c>
      <c r="O655" t="str">
        <f>IF($B655=0,"",SUMPRODUCT(_motor!$B$586:$B$665*(_motor!$E$586:$E$665&gt;$E655))+(SUMPRODUCT(_motor!$B$586:$B$665*(_motor!$E$586:$E$665=$E655))+1)/2)</f>
        <v/>
      </c>
      <c r="P655" t="str">
        <f>IF($B655=0,"",SUMPRODUCT(_motor!$B$586:$B$665*(_motor!$L$586:$L$665&gt;$L655))+(SUMPRODUCT(_motor!$B$586:$B$665*(_motor!$L$586:$L$665=$L655))+1)/2)</f>
        <v/>
      </c>
    </row>
    <row r="656" spans="1:16" x14ac:dyDescent="0.2">
      <c r="A656">
        <f>'02 · Variables'!$B$77</f>
        <v>0</v>
      </c>
      <c r="B656">
        <f>IF('02 · Variables'!$C$77&lt;&gt;"",1,0)</f>
        <v>0</v>
      </c>
      <c r="C656">
        <f>SUM(_motor!$A$81:$CB$81)</f>
        <v>0</v>
      </c>
      <c r="D656">
        <f>SUM(_motor!BS$11:BS$90)</f>
        <v>0</v>
      </c>
      <c r="E656">
        <f>SUM(_motor!$A$327:$CB$327)</f>
        <v>0</v>
      </c>
      <c r="F656">
        <f>SUM(_motor!BS$257:BS$336)</f>
        <v>0</v>
      </c>
      <c r="G656">
        <f>SUM(_motor!$A$163:$CB$163)</f>
        <v>0</v>
      </c>
      <c r="H656">
        <f>SUM(_motor!BS$93:BS$172)</f>
        <v>0</v>
      </c>
      <c r="I656">
        <f>SUM(_motor!$A$573:$CB$573)</f>
        <v>0</v>
      </c>
      <c r="J656">
        <f>SUM(_motor!BS$503:BS$582)</f>
        <v>0</v>
      </c>
      <c r="K656">
        <f>SUM(_motor!$A$245:$CB$245)</f>
        <v>0</v>
      </c>
      <c r="L656">
        <f>SUM(_motor!$A$409:$CB$409)</f>
        <v>0</v>
      </c>
      <c r="M656" t="str">
        <f>IF($B656=0,"",SUMPRODUCT(_motor!$B$586:$B$665*(_motor!$C$586:$C$665&gt;$C656))+(SUMPRODUCT(_motor!$B$586:$B$665*(_motor!$C$586:$C$665=$C656))+1)/2)</f>
        <v/>
      </c>
      <c r="N656" t="str">
        <f>IF($B656=0,"",SUMPRODUCT(_motor!$B$586:$B$665*(_motor!$K$586:$K$665&gt;$K656))+(SUMPRODUCT(_motor!$B$586:$B$665*(_motor!$K$586:$K$665=$K656))+1)/2)</f>
        <v/>
      </c>
      <c r="O656" t="str">
        <f>IF($B656=0,"",SUMPRODUCT(_motor!$B$586:$B$665*(_motor!$E$586:$E$665&gt;$E656))+(SUMPRODUCT(_motor!$B$586:$B$665*(_motor!$E$586:$E$665=$E656))+1)/2)</f>
        <v/>
      </c>
      <c r="P656" t="str">
        <f>IF($B656=0,"",SUMPRODUCT(_motor!$B$586:$B$665*(_motor!$L$586:$L$665&gt;$L656))+(SUMPRODUCT(_motor!$B$586:$B$665*(_motor!$L$586:$L$665=$L656))+1)/2)</f>
        <v/>
      </c>
    </row>
    <row r="657" spans="1:16" x14ac:dyDescent="0.2">
      <c r="A657">
        <f>'02 · Variables'!$B$78</f>
        <v>0</v>
      </c>
      <c r="B657">
        <f>IF('02 · Variables'!$C$78&lt;&gt;"",1,0)</f>
        <v>0</v>
      </c>
      <c r="C657">
        <f>SUM(_motor!$A$82:$CB$82)</f>
        <v>0</v>
      </c>
      <c r="D657">
        <f>SUM(_motor!BT$11:BT$90)</f>
        <v>0</v>
      </c>
      <c r="E657">
        <f>SUM(_motor!$A$328:$CB$328)</f>
        <v>0</v>
      </c>
      <c r="F657">
        <f>SUM(_motor!BT$257:BT$336)</f>
        <v>0</v>
      </c>
      <c r="G657">
        <f>SUM(_motor!$A$164:$CB$164)</f>
        <v>0</v>
      </c>
      <c r="H657">
        <f>SUM(_motor!BT$93:BT$172)</f>
        <v>0</v>
      </c>
      <c r="I657">
        <f>SUM(_motor!$A$574:$CB$574)</f>
        <v>0</v>
      </c>
      <c r="J657">
        <f>SUM(_motor!BT$503:BT$582)</f>
        <v>0</v>
      </c>
      <c r="K657">
        <f>SUM(_motor!$A$246:$CB$246)</f>
        <v>0</v>
      </c>
      <c r="L657">
        <f>SUM(_motor!$A$410:$CB$410)</f>
        <v>0</v>
      </c>
      <c r="M657" t="str">
        <f>IF($B657=0,"",SUMPRODUCT(_motor!$B$586:$B$665*(_motor!$C$586:$C$665&gt;$C657))+(SUMPRODUCT(_motor!$B$586:$B$665*(_motor!$C$586:$C$665=$C657))+1)/2)</f>
        <v/>
      </c>
      <c r="N657" t="str">
        <f>IF($B657=0,"",SUMPRODUCT(_motor!$B$586:$B$665*(_motor!$K$586:$K$665&gt;$K657))+(SUMPRODUCT(_motor!$B$586:$B$665*(_motor!$K$586:$K$665=$K657))+1)/2)</f>
        <v/>
      </c>
      <c r="O657" t="str">
        <f>IF($B657=0,"",SUMPRODUCT(_motor!$B$586:$B$665*(_motor!$E$586:$E$665&gt;$E657))+(SUMPRODUCT(_motor!$B$586:$B$665*(_motor!$E$586:$E$665=$E657))+1)/2)</f>
        <v/>
      </c>
      <c r="P657" t="str">
        <f>IF($B657=0,"",SUMPRODUCT(_motor!$B$586:$B$665*(_motor!$L$586:$L$665&gt;$L657))+(SUMPRODUCT(_motor!$B$586:$B$665*(_motor!$L$586:$L$665=$L657))+1)/2)</f>
        <v/>
      </c>
    </row>
    <row r="658" spans="1:16" x14ac:dyDescent="0.2">
      <c r="A658">
        <f>'02 · Variables'!$B$79</f>
        <v>0</v>
      </c>
      <c r="B658">
        <f>IF('02 · Variables'!$C$79&lt;&gt;"",1,0)</f>
        <v>0</v>
      </c>
      <c r="C658">
        <f>SUM(_motor!$A$83:$CB$83)</f>
        <v>0</v>
      </c>
      <c r="D658">
        <f>SUM(_motor!BU$11:BU$90)</f>
        <v>0</v>
      </c>
      <c r="E658">
        <f>SUM(_motor!$A$329:$CB$329)</f>
        <v>0</v>
      </c>
      <c r="F658">
        <f>SUM(_motor!BU$257:BU$336)</f>
        <v>0</v>
      </c>
      <c r="G658">
        <f>SUM(_motor!$A$165:$CB$165)</f>
        <v>0</v>
      </c>
      <c r="H658">
        <f>SUM(_motor!BU$93:BU$172)</f>
        <v>0</v>
      </c>
      <c r="I658">
        <f>SUM(_motor!$A$575:$CB$575)</f>
        <v>0</v>
      </c>
      <c r="J658">
        <f>SUM(_motor!BU$503:BU$582)</f>
        <v>0</v>
      </c>
      <c r="K658">
        <f>SUM(_motor!$A$247:$CB$247)</f>
        <v>0</v>
      </c>
      <c r="L658">
        <f>SUM(_motor!$A$411:$CB$411)</f>
        <v>0</v>
      </c>
      <c r="M658" t="str">
        <f>IF($B658=0,"",SUMPRODUCT(_motor!$B$586:$B$665*(_motor!$C$586:$C$665&gt;$C658))+(SUMPRODUCT(_motor!$B$586:$B$665*(_motor!$C$586:$C$665=$C658))+1)/2)</f>
        <v/>
      </c>
      <c r="N658" t="str">
        <f>IF($B658=0,"",SUMPRODUCT(_motor!$B$586:$B$665*(_motor!$K$586:$K$665&gt;$K658))+(SUMPRODUCT(_motor!$B$586:$B$665*(_motor!$K$586:$K$665=$K658))+1)/2)</f>
        <v/>
      </c>
      <c r="O658" t="str">
        <f>IF($B658=0,"",SUMPRODUCT(_motor!$B$586:$B$665*(_motor!$E$586:$E$665&gt;$E658))+(SUMPRODUCT(_motor!$B$586:$B$665*(_motor!$E$586:$E$665=$E658))+1)/2)</f>
        <v/>
      </c>
      <c r="P658" t="str">
        <f>IF($B658=0,"",SUMPRODUCT(_motor!$B$586:$B$665*(_motor!$L$586:$L$665&gt;$L658))+(SUMPRODUCT(_motor!$B$586:$B$665*(_motor!$L$586:$L$665=$L658))+1)/2)</f>
        <v/>
      </c>
    </row>
    <row r="659" spans="1:16" x14ac:dyDescent="0.2">
      <c r="A659">
        <f>'02 · Variables'!$B$80</f>
        <v>0</v>
      </c>
      <c r="B659">
        <f>IF('02 · Variables'!$C$80&lt;&gt;"",1,0)</f>
        <v>0</v>
      </c>
      <c r="C659">
        <f>SUM(_motor!$A$84:$CB$84)</f>
        <v>0</v>
      </c>
      <c r="D659">
        <f>SUM(_motor!BV$11:BV$90)</f>
        <v>0</v>
      </c>
      <c r="E659">
        <f>SUM(_motor!$A$330:$CB$330)</f>
        <v>0</v>
      </c>
      <c r="F659">
        <f>SUM(_motor!BV$257:BV$336)</f>
        <v>0</v>
      </c>
      <c r="G659">
        <f>SUM(_motor!$A$166:$CB$166)</f>
        <v>0</v>
      </c>
      <c r="H659">
        <f>SUM(_motor!BV$93:BV$172)</f>
        <v>0</v>
      </c>
      <c r="I659">
        <f>SUM(_motor!$A$576:$CB$576)</f>
        <v>0</v>
      </c>
      <c r="J659">
        <f>SUM(_motor!BV$503:BV$582)</f>
        <v>0</v>
      </c>
      <c r="K659">
        <f>SUM(_motor!$A$248:$CB$248)</f>
        <v>0</v>
      </c>
      <c r="L659">
        <f>SUM(_motor!$A$412:$CB$412)</f>
        <v>0</v>
      </c>
      <c r="M659" t="str">
        <f>IF($B659=0,"",SUMPRODUCT(_motor!$B$586:$B$665*(_motor!$C$586:$C$665&gt;$C659))+(SUMPRODUCT(_motor!$B$586:$B$665*(_motor!$C$586:$C$665=$C659))+1)/2)</f>
        <v/>
      </c>
      <c r="N659" t="str">
        <f>IF($B659=0,"",SUMPRODUCT(_motor!$B$586:$B$665*(_motor!$K$586:$K$665&gt;$K659))+(SUMPRODUCT(_motor!$B$586:$B$665*(_motor!$K$586:$K$665=$K659))+1)/2)</f>
        <v/>
      </c>
      <c r="O659" t="str">
        <f>IF($B659=0,"",SUMPRODUCT(_motor!$B$586:$B$665*(_motor!$E$586:$E$665&gt;$E659))+(SUMPRODUCT(_motor!$B$586:$B$665*(_motor!$E$586:$E$665=$E659))+1)/2)</f>
        <v/>
      </c>
      <c r="P659" t="str">
        <f>IF($B659=0,"",SUMPRODUCT(_motor!$B$586:$B$665*(_motor!$L$586:$L$665&gt;$L659))+(SUMPRODUCT(_motor!$B$586:$B$665*(_motor!$L$586:$L$665=$L659))+1)/2)</f>
        <v/>
      </c>
    </row>
    <row r="660" spans="1:16" x14ac:dyDescent="0.2">
      <c r="A660">
        <f>'02 · Variables'!$B$81</f>
        <v>0</v>
      </c>
      <c r="B660">
        <f>IF('02 · Variables'!$C$81&lt;&gt;"",1,0)</f>
        <v>0</v>
      </c>
      <c r="C660">
        <f>SUM(_motor!$A$85:$CB$85)</f>
        <v>0</v>
      </c>
      <c r="D660">
        <f>SUM(_motor!BW$11:BW$90)</f>
        <v>0</v>
      </c>
      <c r="E660">
        <f>SUM(_motor!$A$331:$CB$331)</f>
        <v>0</v>
      </c>
      <c r="F660">
        <f>SUM(_motor!BW$257:BW$336)</f>
        <v>0</v>
      </c>
      <c r="G660">
        <f>SUM(_motor!$A$167:$CB$167)</f>
        <v>0</v>
      </c>
      <c r="H660">
        <f>SUM(_motor!BW$93:BW$172)</f>
        <v>0</v>
      </c>
      <c r="I660">
        <f>SUM(_motor!$A$577:$CB$577)</f>
        <v>0</v>
      </c>
      <c r="J660">
        <f>SUM(_motor!BW$503:BW$582)</f>
        <v>0</v>
      </c>
      <c r="K660">
        <f>SUM(_motor!$A$249:$CB$249)</f>
        <v>0</v>
      </c>
      <c r="L660">
        <f>SUM(_motor!$A$413:$CB$413)</f>
        <v>0</v>
      </c>
      <c r="M660" t="str">
        <f>IF($B660=0,"",SUMPRODUCT(_motor!$B$586:$B$665*(_motor!$C$586:$C$665&gt;$C660))+(SUMPRODUCT(_motor!$B$586:$B$665*(_motor!$C$586:$C$665=$C660))+1)/2)</f>
        <v/>
      </c>
      <c r="N660" t="str">
        <f>IF($B660=0,"",SUMPRODUCT(_motor!$B$586:$B$665*(_motor!$K$586:$K$665&gt;$K660))+(SUMPRODUCT(_motor!$B$586:$B$665*(_motor!$K$586:$K$665=$K660))+1)/2)</f>
        <v/>
      </c>
      <c r="O660" t="str">
        <f>IF($B660=0,"",SUMPRODUCT(_motor!$B$586:$B$665*(_motor!$E$586:$E$665&gt;$E660))+(SUMPRODUCT(_motor!$B$586:$B$665*(_motor!$E$586:$E$665=$E660))+1)/2)</f>
        <v/>
      </c>
      <c r="P660" t="str">
        <f>IF($B660=0,"",SUMPRODUCT(_motor!$B$586:$B$665*(_motor!$L$586:$L$665&gt;$L660))+(SUMPRODUCT(_motor!$B$586:$B$665*(_motor!$L$586:$L$665=$L660))+1)/2)</f>
        <v/>
      </c>
    </row>
    <row r="661" spans="1:16" x14ac:dyDescent="0.2">
      <c r="A661">
        <f>'02 · Variables'!$B$82</f>
        <v>0</v>
      </c>
      <c r="B661">
        <f>IF('02 · Variables'!$C$82&lt;&gt;"",1,0)</f>
        <v>0</v>
      </c>
      <c r="C661">
        <f>SUM(_motor!$A$86:$CB$86)</f>
        <v>0</v>
      </c>
      <c r="D661">
        <f>SUM(_motor!BX$11:BX$90)</f>
        <v>0</v>
      </c>
      <c r="E661">
        <f>SUM(_motor!$A$332:$CB$332)</f>
        <v>0</v>
      </c>
      <c r="F661">
        <f>SUM(_motor!BX$257:BX$336)</f>
        <v>0</v>
      </c>
      <c r="G661">
        <f>SUM(_motor!$A$168:$CB$168)</f>
        <v>0</v>
      </c>
      <c r="H661">
        <f>SUM(_motor!BX$93:BX$172)</f>
        <v>0</v>
      </c>
      <c r="I661">
        <f>SUM(_motor!$A$578:$CB$578)</f>
        <v>0</v>
      </c>
      <c r="J661">
        <f>SUM(_motor!BX$503:BX$582)</f>
        <v>0</v>
      </c>
      <c r="K661">
        <f>SUM(_motor!$A$250:$CB$250)</f>
        <v>0</v>
      </c>
      <c r="L661">
        <f>SUM(_motor!$A$414:$CB$414)</f>
        <v>0</v>
      </c>
      <c r="M661" t="str">
        <f>IF($B661=0,"",SUMPRODUCT(_motor!$B$586:$B$665*(_motor!$C$586:$C$665&gt;$C661))+(SUMPRODUCT(_motor!$B$586:$B$665*(_motor!$C$586:$C$665=$C661))+1)/2)</f>
        <v/>
      </c>
      <c r="N661" t="str">
        <f>IF($B661=0,"",SUMPRODUCT(_motor!$B$586:$B$665*(_motor!$K$586:$K$665&gt;$K661))+(SUMPRODUCT(_motor!$B$586:$B$665*(_motor!$K$586:$K$665=$K661))+1)/2)</f>
        <v/>
      </c>
      <c r="O661" t="str">
        <f>IF($B661=0,"",SUMPRODUCT(_motor!$B$586:$B$665*(_motor!$E$586:$E$665&gt;$E661))+(SUMPRODUCT(_motor!$B$586:$B$665*(_motor!$E$586:$E$665=$E661))+1)/2)</f>
        <v/>
      </c>
      <c r="P661" t="str">
        <f>IF($B661=0,"",SUMPRODUCT(_motor!$B$586:$B$665*(_motor!$L$586:$L$665&gt;$L661))+(SUMPRODUCT(_motor!$B$586:$B$665*(_motor!$L$586:$L$665=$L661))+1)/2)</f>
        <v/>
      </c>
    </row>
    <row r="662" spans="1:16" x14ac:dyDescent="0.2">
      <c r="A662">
        <f>'02 · Variables'!$B$83</f>
        <v>0</v>
      </c>
      <c r="B662">
        <f>IF('02 · Variables'!$C$83&lt;&gt;"",1,0)</f>
        <v>0</v>
      </c>
      <c r="C662">
        <f>SUM(_motor!$A$87:$CB$87)</f>
        <v>0</v>
      </c>
      <c r="D662">
        <f>SUM(_motor!BY$11:BY$90)</f>
        <v>0</v>
      </c>
      <c r="E662">
        <f>SUM(_motor!$A$333:$CB$333)</f>
        <v>0</v>
      </c>
      <c r="F662">
        <f>SUM(_motor!BY$257:BY$336)</f>
        <v>0</v>
      </c>
      <c r="G662">
        <f>SUM(_motor!$A$169:$CB$169)</f>
        <v>0</v>
      </c>
      <c r="H662">
        <f>SUM(_motor!BY$93:BY$172)</f>
        <v>0</v>
      </c>
      <c r="I662">
        <f>SUM(_motor!$A$579:$CB$579)</f>
        <v>0</v>
      </c>
      <c r="J662">
        <f>SUM(_motor!BY$503:BY$582)</f>
        <v>0</v>
      </c>
      <c r="K662">
        <f>SUM(_motor!$A$251:$CB$251)</f>
        <v>0</v>
      </c>
      <c r="L662">
        <f>SUM(_motor!$A$415:$CB$415)</f>
        <v>0</v>
      </c>
      <c r="M662" t="str">
        <f>IF($B662=0,"",SUMPRODUCT(_motor!$B$586:$B$665*(_motor!$C$586:$C$665&gt;$C662))+(SUMPRODUCT(_motor!$B$586:$B$665*(_motor!$C$586:$C$665=$C662))+1)/2)</f>
        <v/>
      </c>
      <c r="N662" t="str">
        <f>IF($B662=0,"",SUMPRODUCT(_motor!$B$586:$B$665*(_motor!$K$586:$K$665&gt;$K662))+(SUMPRODUCT(_motor!$B$586:$B$665*(_motor!$K$586:$K$665=$K662))+1)/2)</f>
        <v/>
      </c>
      <c r="O662" t="str">
        <f>IF($B662=0,"",SUMPRODUCT(_motor!$B$586:$B$665*(_motor!$E$586:$E$665&gt;$E662))+(SUMPRODUCT(_motor!$B$586:$B$665*(_motor!$E$586:$E$665=$E662))+1)/2)</f>
        <v/>
      </c>
      <c r="P662" t="str">
        <f>IF($B662=0,"",SUMPRODUCT(_motor!$B$586:$B$665*(_motor!$L$586:$L$665&gt;$L662))+(SUMPRODUCT(_motor!$B$586:$B$665*(_motor!$L$586:$L$665=$L662))+1)/2)</f>
        <v/>
      </c>
    </row>
    <row r="663" spans="1:16" x14ac:dyDescent="0.2">
      <c r="A663">
        <f>'02 · Variables'!$B$84</f>
        <v>0</v>
      </c>
      <c r="B663">
        <f>IF('02 · Variables'!$C$84&lt;&gt;"",1,0)</f>
        <v>0</v>
      </c>
      <c r="C663">
        <f>SUM(_motor!$A$88:$CB$88)</f>
        <v>0</v>
      </c>
      <c r="D663">
        <f>SUM(_motor!BZ$11:BZ$90)</f>
        <v>0</v>
      </c>
      <c r="E663">
        <f>SUM(_motor!$A$334:$CB$334)</f>
        <v>0</v>
      </c>
      <c r="F663">
        <f>SUM(_motor!BZ$257:BZ$336)</f>
        <v>0</v>
      </c>
      <c r="G663">
        <f>SUM(_motor!$A$170:$CB$170)</f>
        <v>0</v>
      </c>
      <c r="H663">
        <f>SUM(_motor!BZ$93:BZ$172)</f>
        <v>0</v>
      </c>
      <c r="I663">
        <f>SUM(_motor!$A$580:$CB$580)</f>
        <v>0</v>
      </c>
      <c r="J663">
        <f>SUM(_motor!BZ$503:BZ$582)</f>
        <v>0</v>
      </c>
      <c r="K663">
        <f>SUM(_motor!$A$252:$CB$252)</f>
        <v>0</v>
      </c>
      <c r="L663">
        <f>SUM(_motor!$A$416:$CB$416)</f>
        <v>0</v>
      </c>
      <c r="M663" t="str">
        <f>IF($B663=0,"",SUMPRODUCT(_motor!$B$586:$B$665*(_motor!$C$586:$C$665&gt;$C663))+(SUMPRODUCT(_motor!$B$586:$B$665*(_motor!$C$586:$C$665=$C663))+1)/2)</f>
        <v/>
      </c>
      <c r="N663" t="str">
        <f>IF($B663=0,"",SUMPRODUCT(_motor!$B$586:$B$665*(_motor!$K$586:$K$665&gt;$K663))+(SUMPRODUCT(_motor!$B$586:$B$665*(_motor!$K$586:$K$665=$K663))+1)/2)</f>
        <v/>
      </c>
      <c r="O663" t="str">
        <f>IF($B663=0,"",SUMPRODUCT(_motor!$B$586:$B$665*(_motor!$E$586:$E$665&gt;$E663))+(SUMPRODUCT(_motor!$B$586:$B$665*(_motor!$E$586:$E$665=$E663))+1)/2)</f>
        <v/>
      </c>
      <c r="P663" t="str">
        <f>IF($B663=0,"",SUMPRODUCT(_motor!$B$586:$B$665*(_motor!$L$586:$L$665&gt;$L663))+(SUMPRODUCT(_motor!$B$586:$B$665*(_motor!$L$586:$L$665=$L663))+1)/2)</f>
        <v/>
      </c>
    </row>
    <row r="664" spans="1:16" x14ac:dyDescent="0.2">
      <c r="A664">
        <f>'02 · Variables'!$B$85</f>
        <v>0</v>
      </c>
      <c r="B664">
        <f>IF('02 · Variables'!$C$85&lt;&gt;"",1,0)</f>
        <v>0</v>
      </c>
      <c r="C664">
        <f>SUM(_motor!$A$89:$CB$89)</f>
        <v>0</v>
      </c>
      <c r="D664">
        <f>SUM(_motor!CA$11:CA$90)</f>
        <v>0</v>
      </c>
      <c r="E664">
        <f>SUM(_motor!$A$335:$CB$335)</f>
        <v>0</v>
      </c>
      <c r="F664">
        <f>SUM(_motor!CA$257:CA$336)</f>
        <v>0</v>
      </c>
      <c r="G664">
        <f>SUM(_motor!$A$171:$CB$171)</f>
        <v>0</v>
      </c>
      <c r="H664">
        <f>SUM(_motor!CA$93:CA$172)</f>
        <v>0</v>
      </c>
      <c r="I664">
        <f>SUM(_motor!$A$581:$CB$581)</f>
        <v>0</v>
      </c>
      <c r="J664">
        <f>SUM(_motor!CA$503:CA$582)</f>
        <v>0</v>
      </c>
      <c r="K664">
        <f>SUM(_motor!$A$253:$CB$253)</f>
        <v>0</v>
      </c>
      <c r="L664">
        <f>SUM(_motor!$A$417:$CB$417)</f>
        <v>0</v>
      </c>
      <c r="M664" t="str">
        <f>IF($B664=0,"",SUMPRODUCT(_motor!$B$586:$B$665*(_motor!$C$586:$C$665&gt;$C664))+(SUMPRODUCT(_motor!$B$586:$B$665*(_motor!$C$586:$C$665=$C664))+1)/2)</f>
        <v/>
      </c>
      <c r="N664" t="str">
        <f>IF($B664=0,"",SUMPRODUCT(_motor!$B$586:$B$665*(_motor!$K$586:$K$665&gt;$K664))+(SUMPRODUCT(_motor!$B$586:$B$665*(_motor!$K$586:$K$665=$K664))+1)/2)</f>
        <v/>
      </c>
      <c r="O664" t="str">
        <f>IF($B664=0,"",SUMPRODUCT(_motor!$B$586:$B$665*(_motor!$E$586:$E$665&gt;$E664))+(SUMPRODUCT(_motor!$B$586:$B$665*(_motor!$E$586:$E$665=$E664))+1)/2)</f>
        <v/>
      </c>
      <c r="P664" t="str">
        <f>IF($B664=0,"",SUMPRODUCT(_motor!$B$586:$B$665*(_motor!$L$586:$L$665&gt;$L664))+(SUMPRODUCT(_motor!$B$586:$B$665*(_motor!$L$586:$L$665=$L664))+1)/2)</f>
        <v/>
      </c>
    </row>
    <row r="665" spans="1:16" x14ac:dyDescent="0.2">
      <c r="A665">
        <f>'02 · Variables'!$B$86</f>
        <v>0</v>
      </c>
      <c r="B665">
        <f>IF('02 · Variables'!$C$86&lt;&gt;"",1,0)</f>
        <v>0</v>
      </c>
      <c r="C665">
        <f>SUM(_motor!$A$90:$CB$90)</f>
        <v>0</v>
      </c>
      <c r="D665">
        <f>SUM(_motor!CB$11:CB$90)</f>
        <v>0</v>
      </c>
      <c r="E665">
        <f>SUM(_motor!$A$336:$CB$336)</f>
        <v>0</v>
      </c>
      <c r="F665">
        <f>SUM(_motor!CB$257:CB$336)</f>
        <v>0</v>
      </c>
      <c r="G665">
        <f>SUM(_motor!$A$172:$CB$172)</f>
        <v>0</v>
      </c>
      <c r="H665">
        <f>SUM(_motor!CB$93:CB$172)</f>
        <v>0</v>
      </c>
      <c r="I665">
        <f>SUM(_motor!$A$582:$CB$582)</f>
        <v>0</v>
      </c>
      <c r="J665">
        <f>SUM(_motor!CB$503:CB$582)</f>
        <v>0</v>
      </c>
      <c r="K665">
        <f>SUM(_motor!$A$254:$CB$254)</f>
        <v>0</v>
      </c>
      <c r="L665">
        <f>SUM(_motor!$A$418:$CB$418)</f>
        <v>0</v>
      </c>
      <c r="M665" t="str">
        <f>IF($B665=0,"",SUMPRODUCT(_motor!$B$586:$B$665*(_motor!$C$586:$C$665&gt;$C665))+(SUMPRODUCT(_motor!$B$586:$B$665*(_motor!$C$586:$C$665=$C665))+1)/2)</f>
        <v/>
      </c>
      <c r="N665" t="str">
        <f>IF($B665=0,"",SUMPRODUCT(_motor!$B$586:$B$665*(_motor!$K$586:$K$665&gt;$K665))+(SUMPRODUCT(_motor!$B$586:$B$665*(_motor!$K$586:$K$665=$K665))+1)/2)</f>
        <v/>
      </c>
      <c r="O665" t="str">
        <f>IF($B665=0,"",SUMPRODUCT(_motor!$B$586:$B$665*(_motor!$E$586:$E$665&gt;$E665))+(SUMPRODUCT(_motor!$B$586:$B$665*(_motor!$E$586:$E$665=$E665))+1)/2)</f>
        <v/>
      </c>
      <c r="P665" t="str">
        <f>IF($B665=0,"",SUMPRODUCT(_motor!$B$586:$B$665*(_motor!$L$586:$L$665&gt;$L665))+(SUMPRODUCT(_motor!$B$586:$B$665*(_motor!$L$586:$L$665=$L665))+1)/2)</f>
        <v/>
      </c>
    </row>
    <row r="668" spans="1:16" x14ac:dyDescent="0.2">
      <c r="A668" s="16" t="s">
        <v>71</v>
      </c>
      <c r="B668">
        <f>IF(SUM(_motor!$B$586:$B$665)=0,0,SUMPRODUCT(_motor!$B$586:$B$665,_motor!$C$586:$C$665)/SUM(_motor!$B$586:$B$665))</f>
        <v>0</v>
      </c>
    </row>
    <row r="669" spans="1:16" x14ac:dyDescent="0.2">
      <c r="A669" s="16" t="s">
        <v>72</v>
      </c>
      <c r="B669">
        <f>IF(SUM(_motor!$B$586:$B$665)=0,0,SUMPRODUCT(_motor!$B$586:$B$665,_motor!$E$586:$E$665)/SUM(_motor!$B$586:$B$665))</f>
        <v>0</v>
      </c>
    </row>
    <row r="670" spans="1:16" x14ac:dyDescent="0.2">
      <c r="A670" s="16" t="s">
        <v>73</v>
      </c>
      <c r="B670">
        <f>IF(SUM(_motor!$B$586:$B$665)=0,0,SUMPRODUCT(_motor!$B$586:$B$665,_motor!$G$586:$G$665)/SUM(_motor!$B$586:$B$665))</f>
        <v>0</v>
      </c>
    </row>
    <row r="671" spans="1:16" x14ac:dyDescent="0.2">
      <c r="A671" s="16" t="s">
        <v>74</v>
      </c>
      <c r="B671">
        <f>IF(SUM(_motor!$B$586:$B$665)=0,0,SUMPRODUCT(_motor!$B$586:$B$665,_motor!$I$586:$I$665)/SUM(_motor!$B$586:$B$665))</f>
        <v>0</v>
      </c>
    </row>
    <row r="672" spans="1:16" x14ac:dyDescent="0.2">
      <c r="A672" s="16" t="s">
        <v>75</v>
      </c>
      <c r="B672">
        <f>SUMPRODUCT(_motor!$B$586:$B$665,_motor!$C$586:$C$665)</f>
        <v>0</v>
      </c>
    </row>
    <row r="673" spans="1:2" x14ac:dyDescent="0.2">
      <c r="A673" s="16" t="s">
        <v>76</v>
      </c>
      <c r="B673">
        <f>SUMPRODUCT(_motor!$B$586:$B$665,_motor!$E$586:$E$665)</f>
        <v>0</v>
      </c>
    </row>
    <row r="674" spans="1:2" x14ac:dyDescent="0.2">
      <c r="A674" s="16" t="s">
        <v>77</v>
      </c>
      <c r="B674">
        <f>SUMPRODUCT(_motor!$B$586:$B$665,_motor!$G$586:$G$665)</f>
        <v>0</v>
      </c>
    </row>
    <row r="675" spans="1:2" x14ac:dyDescent="0.2">
      <c r="A675" s="16" t="s">
        <v>78</v>
      </c>
      <c r="B675">
        <f>SUMPRODUCT(_motor!$B$586:$B$665,_motor!$I$586:$I$665)</f>
        <v>0</v>
      </c>
    </row>
    <row r="676" spans="1:2" x14ac:dyDescent="0.2">
      <c r="A676" s="16" t="s">
        <v>79</v>
      </c>
      <c r="B676">
        <f>$B$8*($B$688-$B$689)</f>
        <v>0</v>
      </c>
    </row>
    <row r="677" spans="1:2" x14ac:dyDescent="0.2">
      <c r="A677" s="16" t="s">
        <v>80</v>
      </c>
      <c r="B677">
        <f>$B$8*($B$690-$B$691)</f>
        <v>0</v>
      </c>
    </row>
    <row r="678" spans="1:2" x14ac:dyDescent="0.2">
      <c r="A678" s="16" t="s">
        <v>81</v>
      </c>
      <c r="B678">
        <f>$B$8*($B$692-$B$693)</f>
        <v>0</v>
      </c>
    </row>
    <row r="679" spans="1:2" x14ac:dyDescent="0.2">
      <c r="A679" s="16" t="s">
        <v>82</v>
      </c>
      <c r="B679">
        <f>$B$8*($B$694-$B$695)</f>
        <v>0</v>
      </c>
    </row>
    <row r="681" spans="1:2" x14ac:dyDescent="0.2">
      <c r="A681" s="16" t="s">
        <v>83</v>
      </c>
      <c r="B681">
        <f>SUMPRODUCT(_motor!$B$586:$B$665*(_motor!$M$586:$M$665&lt;&gt;_motor!$N$586:$N$665))</f>
        <v>0</v>
      </c>
    </row>
    <row r="682" spans="1:2" x14ac:dyDescent="0.2">
      <c r="A682" s="16" t="s">
        <v>84</v>
      </c>
      <c r="B682">
        <f>SUMPRODUCT(_motor!$B$586:$B$665*(_motor!$N$586:$N$665&lt;&gt;_motor!$O$586:$O$665))</f>
        <v>0</v>
      </c>
    </row>
    <row r="683" spans="1:2" x14ac:dyDescent="0.2">
      <c r="A683" s="16" t="s">
        <v>85</v>
      </c>
      <c r="B683">
        <f>SUMPRODUCT(_motor!$B$586:$B$665*(_motor!$O$586:$O$665&lt;&gt;_motor!$P$586:$P$665))</f>
        <v>0</v>
      </c>
    </row>
    <row r="688" spans="1:2" x14ac:dyDescent="0.2">
      <c r="A688" s="16" t="s">
        <v>86</v>
      </c>
      <c r="B688">
        <f t="array" ref="B688">IFERROR(MAX(IF(_motor!$B$586:$B$665=1,_motor!$C$586:$C$665)),0)</f>
        <v>0</v>
      </c>
    </row>
    <row r="689" spans="1:2" x14ac:dyDescent="0.2">
      <c r="A689" s="16" t="s">
        <v>87</v>
      </c>
      <c r="B689">
        <f t="array" ref="B689">IFERROR(MIN(IF(_motor!$B$586:$B$665=1,_motor!$C$586:$C$665)),0)</f>
        <v>0</v>
      </c>
    </row>
    <row r="690" spans="1:2" x14ac:dyDescent="0.2">
      <c r="A690" s="16" t="s">
        <v>88</v>
      </c>
      <c r="B690">
        <f t="array" ref="B690">IFERROR(MAX(IF(_motor!$B$586:$B$665=1,_motor!$E$586:$E$665)),0)</f>
        <v>0</v>
      </c>
    </row>
    <row r="691" spans="1:2" x14ac:dyDescent="0.2">
      <c r="A691" s="16" t="s">
        <v>89</v>
      </c>
      <c r="B691">
        <f t="array" ref="B691">IFERROR(MIN(IF(_motor!$B$586:$B$665=1,_motor!$E$586:$E$665)),0)</f>
        <v>0</v>
      </c>
    </row>
    <row r="692" spans="1:2" x14ac:dyDescent="0.2">
      <c r="A692" s="16" t="s">
        <v>90</v>
      </c>
      <c r="B692">
        <f t="array" ref="B692">IFERROR(MAX(IF(_motor!$B$586:$B$665=1,_motor!$G$586:$G$665)),0)</f>
        <v>0</v>
      </c>
    </row>
    <row r="693" spans="1:2" x14ac:dyDescent="0.2">
      <c r="A693" s="16" t="s">
        <v>91</v>
      </c>
      <c r="B693">
        <f t="array" ref="B693">IFERROR(MIN(IF(_motor!$B$586:$B$665=1,_motor!$G$586:$G$665)),0)</f>
        <v>0</v>
      </c>
    </row>
    <row r="694" spans="1:2" x14ac:dyDescent="0.2">
      <c r="A694" s="16" t="s">
        <v>92</v>
      </c>
      <c r="B694">
        <f t="array" ref="B694">IFERROR(MAX(IF(_motor!$B$586:$B$665=1,_motor!$I$586:$I$665)),0)</f>
        <v>0</v>
      </c>
    </row>
    <row r="695" spans="1:2" x14ac:dyDescent="0.2">
      <c r="A695" s="16" t="s">
        <v>93</v>
      </c>
      <c r="B695">
        <f t="array" ref="B695">IFERROR(MIN(IF(_motor!$B$586:$B$665=1,_motor!$I$586:$I$665)),0)</f>
        <v>0</v>
      </c>
    </row>
  </sheetData>
  <sheetProtection password="94C5" sheet="1" formatCells="0" formatColumns="0" formatRows="0" insertRows="0"/>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Hojas de cálculo</vt:lpstr>
      </vt:variant>
      <vt:variant>
        <vt:i4>9</vt:i4>
      </vt:variant>
      <vt:variant>
        <vt:lpstr>Rangos con nombre</vt:lpstr>
      </vt:variant>
      <vt:variant>
        <vt:i4>43</vt:i4>
      </vt:variant>
    </vt:vector>
  </HeadingPairs>
  <TitlesOfParts>
    <vt:vector size="52" baseType="lpstr">
      <vt:lpstr>Inicio</vt:lpstr>
      <vt:lpstr>01 · Encuadre</vt:lpstr>
      <vt:lpstr>02 · Variables</vt:lpstr>
      <vt:lpstr>03 · Criterio</vt:lpstr>
      <vt:lpstr>04 · Matriz</vt:lpstr>
      <vt:lpstr>05 · Resultado</vt:lpstr>
      <vt:lpstr>06 · Informe</vt:lpstr>
      <vt:lpstr>Método</vt:lpstr>
      <vt:lpstr>Comprobación</vt:lpstr>
      <vt:lpstr>'01 · Encuadre'!Área_de_impresión</vt:lpstr>
      <vt:lpstr>'02 · Variables'!Área_de_impresión</vt:lpstr>
      <vt:lpstr>'03 · Criterio'!Área_de_impresión</vt:lpstr>
      <vt:lpstr>'04 · Matriz'!Área_de_impresión</vt:lpstr>
      <vt:lpstr>'05 · Resultado'!Área_de_impresión</vt:lpstr>
      <vt:lpstr>'06 · Informe'!Área_de_impresión</vt:lpstr>
      <vt:lpstr>Comprobación!Área_de_impresión</vt:lpstr>
      <vt:lpstr>Inicio!Área_de_impresión</vt:lpstr>
      <vt:lpstr>Método!Área_de_impresión</vt:lpstr>
      <vt:lpstr>Cal_Ficha</vt:lpstr>
      <vt:lpstr>Cal_Valores</vt:lpstr>
      <vt:lpstr>Est_Autor</vt:lpstr>
      <vt:lpstr>Est_BandaPeloton</vt:lpstr>
      <vt:lpstr>Est_Horizonte</vt:lpstr>
      <vt:lpstr>Est_Pregunta</vt:lpstr>
      <vt:lpstr>Est_Titulo</vt:lpstr>
      <vt:lpstr>Ind_Densidad</vt:lpstr>
      <vt:lpstr>Ind_Dependencia</vt:lpstr>
      <vt:lpstr>Ind_Motricidad</vt:lpstr>
      <vt:lpstr>Ind_NoNulas</vt:lpstr>
      <vt:lpstr>Ind_Potenciales</vt:lpstr>
      <vt:lpstr>Ind_Preguntas</vt:lpstr>
      <vt:lpstr>Ind_RangoMot</vt:lpstr>
      <vt:lpstr>Ind_Tipologia</vt:lpstr>
      <vt:lpstr>Mat_MID</vt:lpstr>
      <vt:lpstr>Pot_Dependencia</vt:lpstr>
      <vt:lpstr>Pot_Motricidad</vt:lpstr>
      <vt:lpstr>Res_Codigo</vt:lpstr>
      <vt:lpstr>Res_Dependencia</vt:lpstr>
      <vt:lpstr>Res_Motricidad</vt:lpstr>
      <vt:lpstr>Res_Nombre</vt:lpstr>
      <vt:lpstr>Res_RangoDep</vt:lpstr>
      <vt:lpstr>Res_RangoMot</vt:lpstr>
      <vt:lpstr>Res_Tipologia</vt:lpstr>
      <vt:lpstr>'02 · Variables'!Títulos_a_imprimir</vt:lpstr>
      <vt:lpstr>'03 · Criterio'!Títulos_a_imprimir</vt:lpstr>
      <vt:lpstr>'04 · Matriz'!Títulos_a_imprimir</vt:lpstr>
      <vt:lpstr>'05 · Resultado'!Títulos_a_imprimir</vt:lpstr>
      <vt:lpstr>Comprobación!Títulos_a_imprimir</vt:lpstr>
      <vt:lpstr>Var_Codigo</vt:lpstr>
      <vt:lpstr>Var_Definicion</vt:lpstr>
      <vt:lpstr>Var_N</vt:lpstr>
      <vt:lpstr>Var_Nombre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MICMAC Essentials IntelKIT v1.0</dc:title>
  <dc:subject>Análisis estructural MICMAC · Módulo 01 · Edición Essentials</dc:subject>
  <dc:creator>IntelKIT</dc:creator>
  <dc:description>Versión final. Produce los mismos resultados que MICMAC Professional con los mismos datos. Método conforme al Cahier LIPSOR SR-10.</dc:description>
  <cp:lastModifiedBy>Lucía de la Paz García Bello</cp:lastModifiedBy>
  <cp:revision>1</cp:revision>
  <dcterms:created xsi:type="dcterms:W3CDTF">2026-07-18T10:50:28Z</dcterms:created>
  <dcterms:modified xsi:type="dcterms:W3CDTF">2026-09-13T10:24:32Z</dcterms:modified>
  <dc:language>en-US</dc:language>
</cp:coreProperties>
</file>